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026"/>
  <workbookPr codeName="ThisWorkbook" hidePivotFieldList="1" defaultThemeVersion="166925"/>
  <mc:AlternateContent xmlns:mc="http://schemas.openxmlformats.org/markup-compatibility/2006">
    <mc:Choice Requires="x15">
      <x15ac:absPath xmlns:x15ac="http://schemas.microsoft.com/office/spreadsheetml/2010/11/ac" url="C:\Users\dech3\Documents\Arduino\000 WORKING PROGRAMS\00000 FINISHED EXAMPLES\GitHub\Master-Electronics-Calculator-2021\"/>
    </mc:Choice>
  </mc:AlternateContent>
  <xr:revisionPtr revIDLastSave="0" documentId="13_ncr:1_{F63C9BB1-5232-4094-B35A-E863B4F38EDB}" xr6:coauthVersionLast="47" xr6:coauthVersionMax="47" xr10:uidLastSave="{00000000-0000-0000-0000-000000000000}"/>
  <bookViews>
    <workbookView xWindow="42200" yWindow="-480" windowWidth="28800" windowHeight="15470" tabRatio="675" firstSheet="5" activeTab="11" xr2:uid="{00000000-000D-0000-FFFF-FFFF00000000}"/>
  </bookViews>
  <sheets>
    <sheet name="Cap Value Table" sheetId="1" r:id="rId1"/>
    <sheet name="Ohms Law" sheetId="6" r:id="rId2"/>
    <sheet name="RF Calculations" sheetId="10" r:id="rId3"/>
    <sheet name="Voltage Divider" sheetId="8" r:id="rId4"/>
    <sheet name="LED Calculator" sheetId="13" r:id="rId5"/>
    <sheet name="LiPo Battery Management" sheetId="11" r:id="rId6"/>
    <sheet name="Voltage Regulators" sheetId="4" r:id="rId7"/>
    <sheet name="Zener Regulators" sheetId="5" r:id="rId8"/>
    <sheet name="Op Amp Gain Calc" sheetId="16" r:id="rId9"/>
    <sheet name="Op Amp Pinouts" sheetId="20" r:id="rId10"/>
    <sheet name="Simple Transitor Amp" sheetId="18" r:id="rId11"/>
    <sheet name="Logic Gate Planning" sheetId="3" r:id="rId12"/>
    <sheet name="40XX Pinouts" sheetId="19" r:id="rId13"/>
    <sheet name="555 Timers" sheetId="17" r:id="rId14"/>
    <sheet name="Charge Pumps" sheetId="7" r:id="rId15"/>
    <sheet name="Wein Bridge Calculator" sheetId="2" r:id="rId16"/>
    <sheet name="Triangle Calculator" sheetId="12" r:id="rId17"/>
    <sheet name="Colour Maths" sheetId="9" r:id="rId18"/>
    <sheet name="Stress Strain" sheetId="15" r:id="rId19"/>
    <sheet name="Shear Stress" sheetId="14" r:id="rId20"/>
  </sheets>
  <calcPr calcId="181029"/>
</workbook>
</file>

<file path=xl/calcChain.xml><?xml version="1.0" encoding="utf-8"?>
<calcChain xmlns="http://schemas.openxmlformats.org/spreadsheetml/2006/main">
  <c r="R30" i="3" l="1"/>
  <c r="R24" i="3"/>
  <c r="R18" i="3"/>
  <c r="J30" i="3"/>
  <c r="J24" i="3"/>
  <c r="J18" i="3"/>
  <c r="E10" i="17"/>
  <c r="J14" i="17"/>
  <c r="E31" i="17"/>
  <c r="G30" i="17"/>
  <c r="E24" i="17"/>
  <c r="G24" i="17"/>
  <c r="G8" i="17"/>
  <c r="C24" i="17"/>
  <c r="E8" i="17"/>
  <c r="J31" i="18"/>
  <c r="E31" i="18" s="1"/>
  <c r="K31" i="18" s="1"/>
  <c r="J30" i="18"/>
  <c r="G30" i="18" s="1"/>
  <c r="K30" i="18" s="1"/>
  <c r="G24" i="18"/>
  <c r="K24" i="18" s="1"/>
  <c r="I24" i="18" s="1"/>
  <c r="J24" i="18" s="1"/>
  <c r="E24" i="18"/>
  <c r="K15" i="18"/>
  <c r="J15" i="18"/>
  <c r="E15" i="18"/>
  <c r="J14" i="18"/>
  <c r="G14" i="18"/>
  <c r="K14" i="18" s="1"/>
  <c r="X1" i="18"/>
  <c r="G8" i="18" s="1"/>
  <c r="W1" i="18"/>
  <c r="E8" i="18" s="1"/>
  <c r="J31" i="16"/>
  <c r="E31" i="16"/>
  <c r="K31" i="16" s="1"/>
  <c r="J30" i="16"/>
  <c r="G30" i="16" s="1"/>
  <c r="K30" i="16" s="1"/>
  <c r="G24" i="16"/>
  <c r="K24" i="16" s="1"/>
  <c r="I24" i="16" s="1"/>
  <c r="J24" i="16" s="1"/>
  <c r="E24" i="16"/>
  <c r="J15" i="16"/>
  <c r="E15" i="16"/>
  <c r="K15" i="16" s="1"/>
  <c r="J14" i="16"/>
  <c r="G14" i="16"/>
  <c r="K14" i="16" s="1"/>
  <c r="E8" i="16"/>
  <c r="X1" i="16"/>
  <c r="G8" i="16" s="1"/>
  <c r="K8" i="16" s="1"/>
  <c r="I8" i="16" s="1"/>
  <c r="J8" i="16" s="1"/>
  <c r="W1" i="16"/>
  <c r="P5" i="14"/>
  <c r="L40" i="15"/>
  <c r="K36" i="15"/>
  <c r="J32" i="15"/>
  <c r="Q19" i="15"/>
  <c r="R19" i="15" s="1"/>
  <c r="J24" i="15" s="1"/>
  <c r="M24" i="15" s="1"/>
  <c r="Q17" i="15"/>
  <c r="K17" i="15"/>
  <c r="L16" i="15"/>
  <c r="E16" i="15"/>
  <c r="C16" i="15" s="1"/>
  <c r="P15" i="15"/>
  <c r="M15" i="15"/>
  <c r="J15" i="15"/>
  <c r="C15" i="15"/>
  <c r="O4" i="15"/>
  <c r="O5" i="15" s="1"/>
  <c r="O6" i="15" s="1"/>
  <c r="L1" i="15"/>
  <c r="L3" i="15" s="1"/>
  <c r="J3" i="15" s="1"/>
  <c r="J4" i="15" s="1"/>
  <c r="J5" i="15" s="1"/>
  <c r="J6" i="15" s="1"/>
  <c r="K45" i="14"/>
  <c r="L49" i="14"/>
  <c r="P24" i="14"/>
  <c r="Q26" i="14"/>
  <c r="K26" i="14"/>
  <c r="L25" i="14"/>
  <c r="M24" i="14"/>
  <c r="J24" i="14" s="1"/>
  <c r="O4" i="14"/>
  <c r="O5" i="14" s="1"/>
  <c r="O6" i="14" s="1"/>
  <c r="E25" i="14"/>
  <c r="C25" i="14" s="1"/>
  <c r="D38" i="9"/>
  <c r="E38" i="9"/>
  <c r="C38" i="9"/>
  <c r="S15" i="13"/>
  <c r="S12" i="13"/>
  <c r="S9" i="13"/>
  <c r="Q15" i="13"/>
  <c r="T15" i="13" s="1"/>
  <c r="Q12" i="13"/>
  <c r="T12" i="13" s="1"/>
  <c r="Q9" i="13"/>
  <c r="T9" i="13" s="1"/>
  <c r="G9" i="13"/>
  <c r="G12" i="13" s="1"/>
  <c r="E16" i="9"/>
  <c r="E22" i="9" s="1"/>
  <c r="C14" i="9"/>
  <c r="C22" i="9" s="1"/>
  <c r="E14" i="9"/>
  <c r="D14" i="9"/>
  <c r="D16" i="9" s="1"/>
  <c r="D22" i="9" s="1"/>
  <c r="C22" i="12"/>
  <c r="E18" i="12"/>
  <c r="B18" i="12" s="1"/>
  <c r="P37" i="10"/>
  <c r="F22" i="11"/>
  <c r="G22" i="11" s="1"/>
  <c r="S30" i="10"/>
  <c r="B41" i="10"/>
  <c r="E40" i="10"/>
  <c r="E35" i="10"/>
  <c r="B35" i="10" s="1"/>
  <c r="N37" i="10"/>
  <c r="D35" i="10"/>
  <c r="D40" i="10"/>
  <c r="K37" i="10"/>
  <c r="O7" i="8"/>
  <c r="N7" i="8"/>
  <c r="M9" i="8"/>
  <c r="M3" i="8"/>
  <c r="A22" i="11"/>
  <c r="K9" i="11"/>
  <c r="L9" i="11" s="1"/>
  <c r="F9" i="11"/>
  <c r="J9" i="11" s="1"/>
  <c r="E9" i="11"/>
  <c r="P23" i="10"/>
  <c r="R23" i="10" s="1"/>
  <c r="D23" i="10"/>
  <c r="E18" i="10"/>
  <c r="D18" i="10"/>
  <c r="B18" i="10" s="1"/>
  <c r="M24" i="17" l="1"/>
  <c r="I24" i="17"/>
  <c r="I26" i="17" s="1"/>
  <c r="I8" i="17"/>
  <c r="K8" i="18"/>
  <c r="I8" i="18" s="1"/>
  <c r="J8" i="18" s="1"/>
  <c r="P5" i="15"/>
  <c r="L24" i="15"/>
  <c r="Q28" i="14"/>
  <c r="R28" i="14" s="1"/>
  <c r="J33" i="14" s="1"/>
  <c r="M33" i="14" s="1"/>
  <c r="L33" i="14" s="1"/>
  <c r="C24" i="14"/>
  <c r="I9" i="13"/>
  <c r="L12" i="13"/>
  <c r="I12" i="13"/>
  <c r="G15" i="13"/>
  <c r="L9" i="13"/>
  <c r="G18" i="12"/>
  <c r="D18" i="12" s="1"/>
  <c r="D22" i="12" s="1"/>
  <c r="B22" i="12"/>
  <c r="B40" i="10"/>
  <c r="E42" i="10" s="1"/>
  <c r="B37" i="10"/>
  <c r="I37" i="10" s="1"/>
  <c r="B36" i="10"/>
  <c r="H9" i="11"/>
  <c r="I18" i="10"/>
  <c r="L18" i="10" s="1"/>
  <c r="H18" i="10"/>
  <c r="B19" i="10"/>
  <c r="M18" i="10"/>
  <c r="B20" i="10"/>
  <c r="B23" i="10"/>
  <c r="E23" i="10"/>
  <c r="E25" i="10" s="1"/>
  <c r="K24" i="17" l="1"/>
  <c r="J8" i="17"/>
  <c r="P3" i="15"/>
  <c r="P4" i="15"/>
  <c r="P4" i="14"/>
  <c r="G18" i="13"/>
  <c r="L15" i="13"/>
  <c r="I15" i="13"/>
  <c r="B42" i="10"/>
  <c r="M20" i="10"/>
  <c r="H20" i="10"/>
  <c r="I20" i="10"/>
  <c r="L20" i="10" s="1"/>
  <c r="H19" i="10"/>
  <c r="M19" i="10"/>
  <c r="I19" i="10"/>
  <c r="L19" i="10" s="1"/>
  <c r="B25" i="10"/>
  <c r="B24" i="10"/>
  <c r="P3" i="14" l="1"/>
  <c r="L1" i="14"/>
  <c r="L3" i="14" s="1"/>
  <c r="J3" i="14" s="1"/>
  <c r="J4" i="14" s="1"/>
  <c r="J5" i="14" s="1"/>
  <c r="J6" i="14" s="1"/>
  <c r="I18" i="13"/>
  <c r="L18" i="13"/>
  <c r="C87" i="5"/>
  <c r="C82" i="5"/>
  <c r="C77" i="5"/>
  <c r="C72" i="5"/>
  <c r="H19" i="6"/>
  <c r="H17" i="6"/>
  <c r="H15" i="6"/>
  <c r="F19" i="6"/>
  <c r="F13" i="6"/>
  <c r="F11" i="6"/>
  <c r="D17" i="6"/>
  <c r="D13" i="6"/>
  <c r="D9" i="6"/>
  <c r="B15" i="6"/>
  <c r="B11" i="6"/>
  <c r="B9" i="6"/>
  <c r="F17" i="8" l="1"/>
  <c r="F9" i="8"/>
  <c r="F27" i="8" l="1"/>
  <c r="F29" i="8" s="1"/>
  <c r="H13" i="8"/>
  <c r="L13" i="8" s="1"/>
  <c r="K25" i="7"/>
  <c r="C19" i="4"/>
  <c r="I7" i="5"/>
  <c r="K7" i="5" s="1"/>
  <c r="C11" i="5" s="1"/>
  <c r="J7" i="5"/>
  <c r="D7" i="5"/>
  <c r="C7" i="5" s="1"/>
  <c r="D19" i="6"/>
  <c r="B19" i="6"/>
  <c r="F17" i="6"/>
  <c r="B17" i="6"/>
  <c r="F15" i="6"/>
  <c r="D15" i="6"/>
  <c r="H13" i="6"/>
  <c r="H11" i="6"/>
  <c r="B13" i="6"/>
  <c r="D11" i="6"/>
  <c r="B28" i="6" s="1"/>
  <c r="F9" i="6"/>
  <c r="H9" i="6"/>
  <c r="I8" i="4" l="1"/>
  <c r="K8" i="4" s="1"/>
  <c r="L8" i="4" s="1"/>
  <c r="O8" i="4" s="1"/>
  <c r="E10" i="2" l="1"/>
  <c r="F13" i="2" s="1"/>
  <c r="G13" i="2" s="1"/>
  <c r="C10" i="2"/>
  <c r="F17" i="2" s="1"/>
  <c r="G17" i="2" s="1"/>
  <c r="G10" i="2" l="1"/>
  <c r="J41" i="14"/>
  <c r="J24" i="17"/>
  <c r="J26" i="17" s="1"/>
  <c r="L24" i="17"/>
  <c r="L31" i="17" s="1"/>
  <c r="L30" i="17" s="1"/>
  <c r="K30" i="17" s="1"/>
  <c r="K26" i="17"/>
  <c r="I30" i="17" l="1"/>
  <c r="K32" i="17"/>
  <c r="J30" i="17"/>
  <c r="J32" i="17" s="1"/>
  <c r="I32" i="17" l="1"/>
  <c r="C30" i="17"/>
  <c r="C31" i="17" l="1"/>
  <c r="E30" i="17"/>
  <c r="G14" i="17"/>
  <c r="E14" i="17" s="1"/>
  <c r="J6" i="3"/>
  <c r="E11" i="3" s="1"/>
  <c r="J12" i="3" s="1"/>
  <c r="M5" i="3" l="1"/>
  <c r="R6" i="3" s="1"/>
  <c r="M11" i="3" s="1"/>
  <c r="R12" i="3" s="1"/>
</calcChain>
</file>

<file path=xl/sharedStrings.xml><?xml version="1.0" encoding="utf-8"?>
<sst xmlns="http://schemas.openxmlformats.org/spreadsheetml/2006/main" count="698" uniqueCount="331">
  <si>
    <t>Cap Value Calculator</t>
  </si>
  <si>
    <t>F</t>
  </si>
  <si>
    <t>uF</t>
  </si>
  <si>
    <t>nF</t>
  </si>
  <si>
    <t>pF</t>
  </si>
  <si>
    <t>Wein Bridge Sine Wave Oscillator Calculator</t>
  </si>
  <si>
    <t>Pi=</t>
  </si>
  <si>
    <t>Use Dual Pot for Variable Resistor</t>
  </si>
  <si>
    <t>R1 &amp; R2</t>
  </si>
  <si>
    <t>C1 &amp; C2</t>
  </si>
  <si>
    <t>Frequency Hz</t>
  </si>
  <si>
    <t>K Ohm</t>
  </si>
  <si>
    <t xml:space="preserve"> Ohm</t>
  </si>
  <si>
    <t>f</t>
  </si>
  <si>
    <t>Results</t>
  </si>
  <si>
    <t>Unknown Q</t>
  </si>
  <si>
    <t>(does not use Fq Input)</t>
  </si>
  <si>
    <t>Type here ^^</t>
  </si>
  <si>
    <t>Ohm</t>
  </si>
  <si>
    <t>Resistance</t>
  </si>
  <si>
    <t>(does not use R Input)</t>
  </si>
  <si>
    <t>Capacitance</t>
  </si>
  <si>
    <t>(does not use C Input</t>
  </si>
  <si>
    <t>Inverting Op Amp</t>
  </si>
  <si>
    <t>Non Inverting Op Amp</t>
  </si>
  <si>
    <t>V in</t>
  </si>
  <si>
    <t>R in</t>
  </si>
  <si>
    <t>V out</t>
  </si>
  <si>
    <t>Gain=(Vout/Vin)</t>
  </si>
  <si>
    <t>Gain=1+(Rf/Rin)</t>
  </si>
  <si>
    <t>ohm</t>
  </si>
  <si>
    <t>Value</t>
  </si>
  <si>
    <t>k ohm</t>
  </si>
  <si>
    <t>M ohm</t>
  </si>
  <si>
    <t>Gain=(Rf/Rin)</t>
  </si>
  <si>
    <t>Code</t>
  </si>
  <si>
    <t>Vin min</t>
  </si>
  <si>
    <t>Vin max</t>
  </si>
  <si>
    <t>Max Current</t>
  </si>
  <si>
    <t>L7805</t>
  </si>
  <si>
    <t>A</t>
  </si>
  <si>
    <t>Working Current</t>
  </si>
  <si>
    <t>Working Power</t>
  </si>
  <si>
    <t>Temp Rise</t>
  </si>
  <si>
    <t>C</t>
  </si>
  <si>
    <t>V</t>
  </si>
  <si>
    <t>W</t>
  </si>
  <si>
    <t>Ambient Temp</t>
  </si>
  <si>
    <t>Max Temp</t>
  </si>
  <si>
    <t>Heatsink</t>
  </si>
  <si>
    <t>Final Temp</t>
  </si>
  <si>
    <t>Working Vin</t>
  </si>
  <si>
    <t>Lost V</t>
  </si>
  <si>
    <t>Temp Rise for every 1 W lost</t>
  </si>
  <si>
    <t>Reg  Max</t>
  </si>
  <si>
    <t>Temp C</t>
  </si>
  <si>
    <t xml:space="preserve">Zener </t>
  </si>
  <si>
    <t>I Load</t>
  </si>
  <si>
    <t>Vbe</t>
  </si>
  <si>
    <t>V = I R</t>
  </si>
  <si>
    <t>I = V/R</t>
  </si>
  <si>
    <t>R = V/I</t>
  </si>
  <si>
    <t>Voltage</t>
  </si>
  <si>
    <t>Current</t>
  </si>
  <si>
    <t>Power</t>
  </si>
  <si>
    <t>P = I V</t>
  </si>
  <si>
    <t>P = (V^2)/R</t>
  </si>
  <si>
    <t>P = (I^2)xR</t>
  </si>
  <si>
    <t>Formula</t>
  </si>
  <si>
    <t>I =P/V</t>
  </si>
  <si>
    <t>R = (V^2)/P</t>
  </si>
  <si>
    <t>V = P/I</t>
  </si>
  <si>
    <t>R = P/(I^2)</t>
  </si>
  <si>
    <t>V = SqR(PxR)</t>
  </si>
  <si>
    <t>I =SqR(P/R)</t>
  </si>
  <si>
    <t>Tested 2n4001</t>
  </si>
  <si>
    <t>hFe</t>
  </si>
  <si>
    <t>Iload/hFe</t>
  </si>
  <si>
    <t>The zener diode sets a constant voltage to the base of a power Bipolar Junction Transistor (BJT). The output voltage is the zener voltage minus the VBE drop of the BJT. The zener diode is affected by the base current of the BJT, which is the load current divided by the β parameter of the BJT. Given the small value of the base current, the zener voltage is hardly affected with changes in load current. To quantify this, we see that the current flowing through RD is equal to the zener current IZ plus the BJT base current IB. Also, the load current is equal to the BJT current, which is IE=(β+1)IB. In sum:</t>
  </si>
  <si>
    <r>
      <t>Vout</t>
    </r>
    <r>
      <rPr>
        <sz val="12"/>
        <color theme="1"/>
        <rFont val="MathJax_Main"/>
      </rPr>
      <t>=</t>
    </r>
    <r>
      <rPr>
        <sz val="12"/>
        <color theme="1"/>
        <rFont val="MathJax_Math-italic"/>
      </rPr>
      <t>VZ</t>
    </r>
    <r>
      <rPr>
        <sz val="12"/>
        <color theme="1"/>
        <rFont val="MathJax_Main"/>
      </rPr>
      <t>−</t>
    </r>
    <r>
      <rPr>
        <sz val="12"/>
        <color theme="1"/>
        <rFont val="MathJax_Math-italic"/>
      </rPr>
      <t>Vbe</t>
    </r>
  </si>
  <si>
    <r>
      <t>where </t>
    </r>
    <r>
      <rPr>
        <sz val="12"/>
        <color theme="1"/>
        <rFont val="MathJax_Math-italic"/>
      </rPr>
      <t>Vbe</t>
    </r>
    <r>
      <rPr>
        <sz val="12"/>
        <color theme="1"/>
        <rFont val="Liberation Sans"/>
      </rPr>
      <t> is the base-emitter voltage of the Bipolar transistor.</t>
    </r>
  </si>
  <si>
    <r>
      <t>ID</t>
    </r>
    <r>
      <rPr>
        <sz val="12"/>
        <color theme="1"/>
        <rFont val="MathJax_Main"/>
      </rPr>
      <t>=</t>
    </r>
    <r>
      <rPr>
        <sz val="12"/>
        <color theme="1"/>
        <rFont val="MathJax_Math-italic"/>
      </rPr>
      <t>IZ</t>
    </r>
    <r>
      <rPr>
        <sz val="12"/>
        <color theme="1"/>
        <rFont val="MathJax_Main"/>
      </rPr>
      <t>+</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</si>
  <si>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</si>
  <si>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IL</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</si>
  <si>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Putting all pieces together, the </t>
    </r>
    <r>
      <rPr>
        <sz val="12"/>
        <color theme="1"/>
        <rFont val="MathJax_Math-italic"/>
      </rPr>
      <t>RD</t>
    </r>
    <r>
      <rPr>
        <sz val="12"/>
        <color theme="1"/>
        <rFont val="Liberation Sans"/>
      </rPr>
      <t> resistor should be sized such that:</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</si>
  <si>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ILβ</t>
    </r>
    <r>
      <rPr>
        <sz val="12"/>
        <color theme="1"/>
        <rFont val="MathJax_Main"/>
      </rPr>
      <t>+1</t>
    </r>
  </si>
  <si>
    <r>
      <t>Clearly, the designed value for </t>
    </r>
    <r>
      <rPr>
        <sz val="12"/>
        <color theme="1"/>
        <rFont val="MathJax_Math-italic"/>
      </rPr>
      <t>RD</t>
    </r>
    <r>
      <rPr>
        <sz val="12"/>
        <color theme="1"/>
        <rFont val="Liberation Sans"/>
      </rPr>
      <t> is not very dependent on the load current. However, a change in input voltage will cause a change of current flowing through </t>
    </r>
    <r>
      <rPr>
        <sz val="12"/>
        <color theme="1"/>
        <rFont val="MathJax_Math-italic"/>
      </rPr>
      <t>RD</t>
    </r>
    <r>
      <rPr>
        <sz val="12"/>
        <color theme="1"/>
        <rFont val="Liberation Sans"/>
      </rPr>
      <t>, and that in turn affects all other values, including the output voltage. To avoid that, negative feedback must be employed to keep the output voltage stable under all sources of perturbations, including variations in input voltage and load current.</t>
    </r>
  </si>
  <si>
    <t>Vz</t>
  </si>
  <si>
    <t>I b</t>
  </si>
  <si>
    <t>I d</t>
  </si>
  <si>
    <t>I z</t>
  </si>
  <si>
    <t>I e</t>
  </si>
  <si>
    <t>R d</t>
  </si>
  <si>
    <t>R Load</t>
  </si>
  <si>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</si>
  <si>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Vout</t>
    </r>
    <r>
      <rPr>
        <sz val="12"/>
        <color theme="1"/>
        <rFont val="MathJax_Main"/>
      </rPr>
      <t>=</t>
    </r>
    <r>
      <rPr>
        <sz val="12"/>
        <color theme="1"/>
        <rFont val="MathJax_Math-italic"/>
      </rPr>
      <t>Vz</t>
    </r>
    <r>
      <rPr>
        <sz val="12"/>
        <color theme="1"/>
        <rFont val="MathJax_Main"/>
      </rPr>
      <t>−</t>
    </r>
    <r>
      <rPr>
        <sz val="12"/>
        <color theme="1"/>
        <rFont val="MathJax_Math-italic"/>
      </rPr>
      <t>Vbe</t>
    </r>
  </si>
  <si>
    <t>B</t>
  </si>
  <si>
    <r>
      <t>I load</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</si>
  <si>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Ildβ</t>
    </r>
    <r>
      <rPr>
        <sz val="12"/>
        <color theme="1"/>
        <rFont val="MathJax_Main"/>
      </rPr>
      <t>+1</t>
    </r>
  </si>
  <si>
    <t>Heat generated = (input voltage – 5) x output current</t>
  </si>
  <si>
    <t xml:space="preserve">To heat </t>
  </si>
  <si>
    <t>Voltage Doubling</t>
  </si>
  <si>
    <t xml:space="preserve">D1 &amp; D2 </t>
  </si>
  <si>
    <t>Fv</t>
  </si>
  <si>
    <t>1n5817</t>
  </si>
  <si>
    <t>C1</t>
  </si>
  <si>
    <t>C2</t>
  </si>
  <si>
    <t>Connect Pin 1 to V+</t>
  </si>
  <si>
    <t>10u</t>
  </si>
  <si>
    <t>(100u)</t>
  </si>
  <si>
    <t>Check</t>
  </si>
  <si>
    <t>Do Not Connect Pin 5</t>
  </si>
  <si>
    <t xml:space="preserve"> </t>
  </si>
  <si>
    <t>Voltage Rail</t>
  </si>
  <si>
    <t>v</t>
  </si>
  <si>
    <t>Resistor 1</t>
  </si>
  <si>
    <t>Resistor 2</t>
  </si>
  <si>
    <t>kohm</t>
  </si>
  <si>
    <t>Output</t>
  </si>
  <si>
    <t>Totall Current</t>
  </si>
  <si>
    <t>Total Resistance</t>
  </si>
  <si>
    <t>Total Power</t>
  </si>
  <si>
    <t>Wire &amp; Current</t>
  </si>
  <si>
    <t>mm^2</t>
  </si>
  <si>
    <t>Diameter</t>
  </si>
  <si>
    <t>A.W.G</t>
  </si>
  <si>
    <t>mil^2</t>
  </si>
  <si>
    <t>Zener Voltage</t>
  </si>
  <si>
    <t>Zener Wmax</t>
  </si>
  <si>
    <t>Input Voltage</t>
  </si>
  <si>
    <t>Load</t>
  </si>
  <si>
    <t>Series Resistor</t>
  </si>
  <si>
    <t>Load Current</t>
  </si>
  <si>
    <t>Full Load Z Current</t>
  </si>
  <si>
    <t>RF Calculations</t>
  </si>
  <si>
    <t>L=c/f</t>
  </si>
  <si>
    <t>299792458</t>
  </si>
  <si>
    <t>C=</t>
  </si>
  <si>
    <t>m/s</t>
  </si>
  <si>
    <t>Radials are 12% longer than active element</t>
  </si>
  <si>
    <t>Reverse</t>
  </si>
  <si>
    <t>Wavelength</t>
  </si>
  <si>
    <t>c</t>
  </si>
  <si>
    <t>Frequency</t>
  </si>
  <si>
    <t>1/2 Wave</t>
  </si>
  <si>
    <t>1/4 Wave</t>
  </si>
  <si>
    <t>Velocity Factor (vF)</t>
  </si>
  <si>
    <t>Monopole Radiating Element</t>
  </si>
  <si>
    <t>Radials (L*0.28)*vf</t>
  </si>
  <si>
    <t>1/4 wave</t>
  </si>
  <si>
    <t>full wave</t>
  </si>
  <si>
    <t>frequency</t>
  </si>
  <si>
    <t>m</t>
  </si>
  <si>
    <t>Hz</t>
  </si>
  <si>
    <t>cm</t>
  </si>
  <si>
    <t>mm</t>
  </si>
  <si>
    <t>MHz</t>
  </si>
  <si>
    <t>Cell Voltage (v)</t>
  </si>
  <si>
    <t>No. Cells</t>
  </si>
  <si>
    <t>Batt Voltage (v)</t>
  </si>
  <si>
    <t>Capacity (mAh)</t>
  </si>
  <si>
    <t>Power Capacity (Wh)</t>
  </si>
  <si>
    <t>Safe LiPo / Li-ion Battery Charging Calculator</t>
  </si>
  <si>
    <t>Nominal</t>
  </si>
  <si>
    <t>Max</t>
  </si>
  <si>
    <t>Min</t>
  </si>
  <si>
    <t>Charge Rate C</t>
  </si>
  <si>
    <t>Charging Current (A)</t>
  </si>
  <si>
    <t>Charging Voltage (v)</t>
  </si>
  <si>
    <t>Charging Cutoff (A)</t>
  </si>
  <si>
    <t>Safe LiPo / Li-ion Battery Discharging Calculator</t>
  </si>
  <si>
    <t>Discharge Rate C</t>
  </si>
  <si>
    <t>ADC</t>
  </si>
  <si>
    <t>Bits</t>
  </si>
  <si>
    <t>Divisions</t>
  </si>
  <si>
    <t>Hex</t>
  </si>
  <si>
    <t>Hex in Dec</t>
  </si>
  <si>
    <t>Volts Per Div</t>
  </si>
  <si>
    <t>1/4 Wave Ground Plane Antenna Calculator</t>
  </si>
  <si>
    <t>Clove Leaf Antenna Calculator</t>
  </si>
  <si>
    <t>Wire Length Scaler</t>
  </si>
  <si>
    <t>Cut Wire to Length</t>
  </si>
  <si>
    <t>Bend Ends in @</t>
  </si>
  <si>
    <t>1/4 wavelength</t>
  </si>
  <si>
    <t>from end</t>
  </si>
  <si>
    <t>bend scalar</t>
  </si>
  <si>
    <t>1/</t>
  </si>
  <si>
    <t xml:space="preserve">?? </t>
  </si>
  <si>
    <t>Total Length of Wire Required =</t>
  </si>
  <si>
    <t>Discharging Current (A)</t>
  </si>
  <si>
    <t>Load (ohm)</t>
  </si>
  <si>
    <t>adjusted for wire thickness</t>
  </si>
  <si>
    <t>Wire Thickness =</t>
  </si>
  <si>
    <t>Sides</t>
  </si>
  <si>
    <t>Angles</t>
  </si>
  <si>
    <t>a</t>
  </si>
  <si>
    <t>b</t>
  </si>
  <si>
    <t>General Triangle</t>
  </si>
  <si>
    <t>Isocelies Triangle</t>
  </si>
  <si>
    <t>sine rule</t>
  </si>
  <si>
    <t>sin angle</t>
  </si>
  <si>
    <t>side /</t>
  </si>
  <si>
    <t>Colour Maths</t>
  </si>
  <si>
    <t>RGB</t>
  </si>
  <si>
    <t>HSV (byte)</t>
  </si>
  <si>
    <t>HSV(deg %)</t>
  </si>
  <si>
    <t>H</t>
  </si>
  <si>
    <t>S</t>
  </si>
  <si>
    <t>deg</t>
  </si>
  <si>
    <t>%</t>
  </si>
  <si>
    <t>#212121</t>
  </si>
  <si>
    <t>1 LED</t>
  </si>
  <si>
    <t>2 LED</t>
  </si>
  <si>
    <t>3 LED</t>
  </si>
  <si>
    <t>4 LED</t>
  </si>
  <si>
    <t>LED FV</t>
  </si>
  <si>
    <t xml:space="preserve">  v</t>
  </si>
  <si>
    <t>CLR</t>
  </si>
  <si>
    <t xml:space="preserve">  ohm</t>
  </si>
  <si>
    <t>Target Current</t>
  </si>
  <si>
    <t xml:space="preserve">  A</t>
  </si>
  <si>
    <t>Calculated CLR</t>
  </si>
  <si>
    <t>Balancing an RGB</t>
  </si>
  <si>
    <t>R</t>
  </si>
  <si>
    <t>G</t>
  </si>
  <si>
    <t>Parellel Line</t>
  </si>
  <si>
    <t>V after drop</t>
  </si>
  <si>
    <t>V after Drop</t>
  </si>
  <si>
    <t>gamma</t>
  </si>
  <si>
    <t>Adjusted current</t>
  </si>
  <si>
    <t>from HSV</t>
  </si>
  <si>
    <t>to HSV</t>
  </si>
  <si>
    <t>8bit</t>
  </si>
  <si>
    <t>float</t>
  </si>
  <si>
    <t>Stress =</t>
  </si>
  <si>
    <t>Force</t>
  </si>
  <si>
    <t>Area</t>
  </si>
  <si>
    <t>Strain =</t>
  </si>
  <si>
    <t>Stress</t>
  </si>
  <si>
    <t>Radius</t>
  </si>
  <si>
    <t>N</t>
  </si>
  <si>
    <t>Pa</t>
  </si>
  <si>
    <t>m^2</t>
  </si>
  <si>
    <t>km</t>
  </si>
  <si>
    <t>unit</t>
  </si>
  <si>
    <t>k unit</t>
  </si>
  <si>
    <t>M unit</t>
  </si>
  <si>
    <t>G unit</t>
  </si>
  <si>
    <t>u</t>
  </si>
  <si>
    <t>ku</t>
  </si>
  <si>
    <t>Mu</t>
  </si>
  <si>
    <t>Gu</t>
  </si>
  <si>
    <t>utility</t>
  </si>
  <si>
    <t>dL</t>
  </si>
  <si>
    <t>L</t>
  </si>
  <si>
    <t>Origional L</t>
  </si>
  <si>
    <t>New Length</t>
  </si>
  <si>
    <t>Change L</t>
  </si>
  <si>
    <t>Lo</t>
  </si>
  <si>
    <t>Ln</t>
  </si>
  <si>
    <t>Strain</t>
  </si>
  <si>
    <t>Hookes Law</t>
  </si>
  <si>
    <t>E</t>
  </si>
  <si>
    <t>σ</t>
  </si>
  <si>
    <t>ϵ</t>
  </si>
  <si>
    <t>Stress (σ)</t>
  </si>
  <si>
    <t>Strain ( ϵ )</t>
  </si>
  <si>
    <t>stress = Youngs Modulus x Strain</t>
  </si>
  <si>
    <t xml:space="preserve"> σ = Eϵ</t>
  </si>
  <si>
    <t>Ym</t>
  </si>
  <si>
    <t xml:space="preserve"> σ </t>
  </si>
  <si>
    <t>Poissons Ratio</t>
  </si>
  <si>
    <t>dimensionless</t>
  </si>
  <si>
    <t>ν</t>
  </si>
  <si>
    <t>ν =</t>
  </si>
  <si>
    <t>- Lateral Strain</t>
  </si>
  <si>
    <t>normal strain</t>
  </si>
  <si>
    <t>=</t>
  </si>
  <si>
    <t>ϵx</t>
  </si>
  <si>
    <t>ϵz</t>
  </si>
  <si>
    <t>Poissons Ratio (ν)</t>
  </si>
  <si>
    <t>Normal Strain (ϵx)</t>
  </si>
  <si>
    <t>Lateral Strain (ϵy)</t>
  </si>
  <si>
    <t xml:space="preserve"> σx</t>
  </si>
  <si>
    <t>ϵx =</t>
  </si>
  <si>
    <t>ϵy =</t>
  </si>
  <si>
    <t>ϵz =</t>
  </si>
  <si>
    <t xml:space="preserve">νσ </t>
  </si>
  <si>
    <t>.</t>
  </si>
  <si>
    <t>-ϵy</t>
  </si>
  <si>
    <t>- ϵy</t>
  </si>
  <si>
    <r>
      <t>Shear Stress (</t>
    </r>
    <r>
      <rPr>
        <sz val="11"/>
        <color theme="0" tint="-4.9989318521683403E-2"/>
        <rFont val="Calibri"/>
        <family val="2"/>
      </rPr>
      <t>Τ</t>
    </r>
    <r>
      <rPr>
        <sz val="11"/>
        <color theme="0" tint="-4.9989318521683403E-2"/>
        <rFont val="Consolas"/>
        <family val="3"/>
      </rPr>
      <t xml:space="preserve">) = </t>
    </r>
  </si>
  <si>
    <t xml:space="preserve">Stress = </t>
  </si>
  <si>
    <t xml:space="preserve">Strain = </t>
  </si>
  <si>
    <t>x10^3</t>
  </si>
  <si>
    <t>x10^6</t>
  </si>
  <si>
    <t>x10^9</t>
  </si>
  <si>
    <t>R fdbk</t>
  </si>
  <si>
    <t>Inverting Op-Amp Calculator</t>
  </si>
  <si>
    <t>Non-Inverting Op-Amp Calculator</t>
  </si>
  <si>
    <t>Inverting Transistor Amp</t>
  </si>
  <si>
    <t>Non-Inverting Transistor Amp</t>
  </si>
  <si>
    <t>Re</t>
  </si>
  <si>
    <t>Rc</t>
  </si>
  <si>
    <t>Gain=(-Rc/Re)</t>
  </si>
  <si>
    <t>Monostable Vibrator</t>
  </si>
  <si>
    <t>R1</t>
  </si>
  <si>
    <t>t (S)</t>
  </si>
  <si>
    <t>t (mS)</t>
  </si>
  <si>
    <t>Bistable Vibrator</t>
  </si>
  <si>
    <t>Improved Astable Vibrator</t>
  </si>
  <si>
    <t>R2</t>
  </si>
  <si>
    <t>Frequency (Hz)</t>
  </si>
  <si>
    <t>T1 (S)</t>
  </si>
  <si>
    <t>T2 (S)</t>
  </si>
  <si>
    <t>mS</t>
  </si>
  <si>
    <t>Duty Cycle</t>
  </si>
  <si>
    <t>Ttotal (s)</t>
  </si>
  <si>
    <t>BPM</t>
  </si>
  <si>
    <t>Gates:</t>
  </si>
  <si>
    <t>buffer</t>
  </si>
  <si>
    <t>AND</t>
  </si>
  <si>
    <t>OR</t>
  </si>
  <si>
    <t>NOT</t>
  </si>
  <si>
    <t>XOR</t>
  </si>
  <si>
    <t>NAND</t>
  </si>
  <si>
    <t>NOR</t>
  </si>
  <si>
    <t>NXOR</t>
  </si>
  <si>
    <t>in A</t>
  </si>
  <si>
    <t>in B</t>
  </si>
  <si>
    <t>out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</si>
</sst>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6">
    <numFmt numFmtId="43" formatCode="_-* #,##0.00_-;\-* #,##0.00_-;_-* &quot;-&quot;??_-;_-@_-"/>
    <numFmt numFmtId="164" formatCode="0.000000000"/>
    <numFmt numFmtId="165" formatCode="0.0000000000"/>
    <numFmt numFmtId="166" formatCode="0.00000000000"/>
    <numFmt numFmtId="167" formatCode="0.000000000000"/>
    <numFmt numFmtId="168" formatCode="0.0"/>
    <numFmt numFmtId="169" formatCode="0.000"/>
    <numFmt numFmtId="170" formatCode="0.00000"/>
    <numFmt numFmtId="171" formatCode="0.000000"/>
    <numFmt numFmtId="172" formatCode="0.0000"/>
    <numFmt numFmtId="173" formatCode="0.0000000"/>
    <numFmt numFmtId="174" formatCode="0.00000000"/>
    <numFmt numFmtId="175" formatCode="_-* #,##0.000_-;\-* #,##0.000_-;_-* &quot;-&quot;??_-;_-@_-"/>
    <numFmt numFmtId="176" formatCode="_-* #,##0.00000_-;\-* #,##0.00000_-;_-* &quot;-&quot;??_-;_-@_-"/>
    <numFmt numFmtId="177" formatCode="_-* #,##0.000000000000_-;\-* #,##0.000000000000_-;_-* &quot;-&quot;??_-;_-@_-"/>
    <numFmt numFmtId="178" formatCode="_-* #,##0.0000000000000_-;\-* #,##0.0000000000000_-;_-* &quot;-&quot;??_-;_-@_-"/>
  </numFmts>
  <fonts count="45">
    <font>
      <sz val="11"/>
      <color theme="1"/>
      <name val="Liberation Sans"/>
    </font>
    <font>
      <sz val="11"/>
      <color theme="1"/>
      <name val="Liberation Sans"/>
    </font>
    <font>
      <b/>
      <sz val="10"/>
      <color rgb="FF000000"/>
      <name val="Liberation Sans"/>
    </font>
    <font>
      <sz val="10"/>
      <color rgb="FFFFFFFF"/>
      <name val="Liberation Sans"/>
    </font>
    <font>
      <sz val="10"/>
      <color rgb="FFCC0000"/>
      <name val="Liberation Sans"/>
    </font>
    <font>
      <b/>
      <sz val="10"/>
      <color rgb="FFFFFFFF"/>
      <name val="Liberation Sans"/>
    </font>
    <font>
      <i/>
      <sz val="10"/>
      <color rgb="FF808080"/>
      <name val="Liberation Sans"/>
    </font>
    <font>
      <sz val="10"/>
      <color rgb="FF006600"/>
      <name val="Liberation Sans"/>
    </font>
    <font>
      <b/>
      <sz val="24"/>
      <color rgb="FF000000"/>
      <name val="Liberation Sans"/>
    </font>
    <font>
      <sz val="18"/>
      <color rgb="FF000000"/>
      <name val="Liberation Sans"/>
    </font>
    <font>
      <sz val="12"/>
      <color rgb="FF000000"/>
      <name val="Liberation Sans"/>
    </font>
    <font>
      <sz val="10"/>
      <color rgb="FF996600"/>
      <name val="Liberation Sans"/>
    </font>
    <font>
      <sz val="10"/>
      <color rgb="FF333333"/>
      <name val="Liberation Sans"/>
    </font>
    <font>
      <b/>
      <sz val="11"/>
      <color theme="1"/>
      <name val="Liberation Sans"/>
    </font>
    <font>
      <sz val="9"/>
      <color rgb="FF000000"/>
      <name val="Verdana"/>
      <family val="2"/>
    </font>
    <font>
      <b/>
      <sz val="18"/>
      <color rgb="FF000000"/>
      <name val="Verdana"/>
      <family val="2"/>
    </font>
    <font>
      <sz val="12"/>
      <color theme="1"/>
      <name val="Liberation Sans"/>
    </font>
    <font>
      <sz val="12"/>
      <color theme="1"/>
      <name val="MathJax_Math-italic"/>
    </font>
    <font>
      <sz val="12"/>
      <color theme="1"/>
      <name val="MathJax_Main"/>
    </font>
    <font>
      <sz val="9"/>
      <color rgb="FF222222"/>
      <name val="Open Sans"/>
    </font>
    <font>
      <sz val="11"/>
      <color theme="1"/>
      <name val="Consolas"/>
      <family val="3"/>
    </font>
    <font>
      <b/>
      <sz val="11"/>
      <color theme="0" tint="-0.14999847407452621"/>
      <name val="Consolas"/>
      <family val="3"/>
    </font>
    <font>
      <sz val="11"/>
      <color theme="7"/>
      <name val="Consolas"/>
      <family val="3"/>
    </font>
    <font>
      <b/>
      <sz val="24"/>
      <color theme="1"/>
      <name val="Calibri"/>
      <family val="2"/>
      <scheme val="minor"/>
    </font>
    <font>
      <sz val="14"/>
      <color theme="1"/>
      <name val="Calibri"/>
      <family val="2"/>
      <scheme val="minor"/>
    </font>
    <font>
      <sz val="18"/>
      <color theme="0" tint="-4.9989318521683403E-2"/>
      <name val="Consolas"/>
      <family val="3"/>
    </font>
    <font>
      <sz val="11"/>
      <color theme="0" tint="-4.9989318521683403E-2"/>
      <name val="Consolas"/>
      <family val="3"/>
    </font>
    <font>
      <sz val="12"/>
      <color theme="0" tint="-4.9989318521683403E-2"/>
      <name val="Consolas"/>
      <family val="3"/>
    </font>
    <font>
      <b/>
      <sz val="11"/>
      <color theme="0" tint="-4.9989318521683403E-2"/>
      <name val="Consolas"/>
      <family val="3"/>
    </font>
    <font>
      <b/>
      <sz val="11"/>
      <color theme="2" tint="-0.89999084444715716"/>
      <name val="Consolas"/>
      <family val="3"/>
    </font>
    <font>
      <sz val="20"/>
      <color theme="1"/>
      <name val="Liberation Sans"/>
    </font>
    <font>
      <sz val="11"/>
      <color theme="0"/>
      <name val="Consolas"/>
      <family val="3"/>
    </font>
    <font>
      <sz val="7"/>
      <color rgb="FFC9D1D9"/>
      <name val="Consolas"/>
      <family val="3"/>
    </font>
    <font>
      <b/>
      <sz val="11"/>
      <color theme="2" tint="-0.749992370372631"/>
      <name val="Consolas"/>
      <family val="3"/>
    </font>
    <font>
      <sz val="11"/>
      <color theme="0" tint="-4.9989318521683403E-2"/>
      <name val="Calibri"/>
      <family val="2"/>
    </font>
    <font>
      <sz val="11"/>
      <color theme="2" tint="-0.89999084444715716"/>
      <name val="Consolas"/>
      <family val="3"/>
    </font>
    <font>
      <sz val="11"/>
      <color theme="0" tint="-4.9989318521683403E-2"/>
      <name val="Calibri"/>
    </font>
    <font>
      <sz val="11"/>
      <name val="Consolas"/>
      <family val="3"/>
    </font>
    <font>
      <b/>
      <sz val="11"/>
      <color theme="1" tint="0.14999847407452621"/>
      <name val="Consolas"/>
      <family val="3"/>
    </font>
    <font>
      <b/>
      <sz val="18"/>
      <color theme="0" tint="-4.9989318521683403E-2"/>
      <name val="Consolas"/>
      <family val="3"/>
    </font>
    <font>
      <b/>
      <u/>
      <sz val="14"/>
      <color theme="0" tint="-4.9989318521683403E-2"/>
      <name val="Consolas"/>
      <family val="3"/>
    </font>
    <font>
      <b/>
      <sz val="14"/>
      <color theme="0" tint="-4.9989318521683403E-2"/>
      <name val="Consolas"/>
      <family val="3"/>
    </font>
    <font>
      <b/>
      <sz val="20"/>
      <color theme="0" tint="-4.9989318521683403E-2"/>
      <name val="Consolas"/>
      <family val="3"/>
    </font>
    <font>
      <b/>
      <sz val="11"/>
      <name val="Consolas"/>
      <family val="3"/>
    </font>
    <font>
      <b/>
      <sz val="11"/>
      <color theme="1" tint="0.499984740745262"/>
      <name val="Consolas"/>
      <family val="3"/>
    </font>
  </fonts>
  <fills count="82">
    <fill>
      <patternFill patternType="none"/>
    </fill>
    <fill>
      <patternFill patternType="gray125"/>
    </fill>
    <fill>
      <patternFill patternType="solid">
        <fgColor rgb="FF000000"/>
        <bgColor rgb="FF000000"/>
      </patternFill>
    </fill>
    <fill>
      <patternFill patternType="solid">
        <fgColor rgb="FF808080"/>
        <bgColor rgb="FF808080"/>
      </patternFill>
    </fill>
    <fill>
      <patternFill patternType="solid">
        <fgColor rgb="FFDDDDDD"/>
        <bgColor rgb="FFDDDDDD"/>
      </patternFill>
    </fill>
    <fill>
      <patternFill patternType="solid">
        <fgColor rgb="FFFFCCCC"/>
        <bgColor rgb="FFFFCCCC"/>
      </patternFill>
    </fill>
    <fill>
      <patternFill patternType="solid">
        <fgColor rgb="FFCC0000"/>
        <bgColor rgb="FFCC0000"/>
      </patternFill>
    </fill>
    <fill>
      <patternFill patternType="solid">
        <fgColor rgb="FFCCFFCC"/>
        <bgColor rgb="FFCCFFCC"/>
      </patternFill>
    </fill>
    <fill>
      <patternFill patternType="solid">
        <fgColor rgb="FFFFFFCC"/>
        <bgColor rgb="FFFFFFCC"/>
      </patternFill>
    </fill>
    <fill>
      <patternFill patternType="solid">
        <fgColor rgb="FFFCD4D1"/>
        <bgColor rgb="FFFCD4D1"/>
      </patternFill>
    </fill>
    <fill>
      <patternFill patternType="solid">
        <fgColor rgb="FFADD58A"/>
        <bgColor rgb="FFADD58A"/>
      </patternFill>
    </fill>
    <fill>
      <patternFill patternType="solid">
        <fgColor rgb="FFFFF9AE"/>
        <bgColor rgb="FFFFF9AE"/>
      </patternFill>
    </fill>
    <fill>
      <patternFill patternType="solid">
        <fgColor rgb="FFC2E0AE"/>
        <bgColor rgb="FFC2E0AE"/>
      </patternFill>
    </fill>
    <fill>
      <patternFill patternType="solid">
        <fgColor theme="6" tint="0.79998168889431442"/>
        <bgColor indexed="64"/>
      </patternFill>
    </fill>
    <fill>
      <patternFill patternType="solid">
        <fgColor theme="9" tint="0.79998168889431442"/>
        <bgColor indexed="64"/>
      </patternFill>
    </fill>
    <fill>
      <patternFill patternType="solid">
        <fgColor theme="0" tint="-4.9989318521683403E-2"/>
        <bgColor indexed="64"/>
      </patternFill>
    </fill>
    <fill>
      <patternFill patternType="solid">
        <fgColor rgb="FFFFFF00"/>
        <bgColor indexed="64"/>
      </patternFill>
    </fill>
    <fill>
      <patternFill patternType="solid">
        <fgColor theme="7" tint="0.39997558519241921"/>
        <bgColor indexed="64"/>
      </patternFill>
    </fill>
    <fill>
      <patternFill patternType="solid">
        <fgColor theme="1"/>
        <bgColor indexed="64"/>
      </patternFill>
    </fill>
    <fill>
      <patternFill patternType="solid">
        <fgColor theme="5" tint="-0.249977111117893"/>
        <bgColor indexed="64"/>
      </patternFill>
    </fill>
    <fill>
      <patternFill patternType="solid">
        <fgColor theme="8" tint="0.79998168889431442"/>
        <bgColor indexed="64"/>
      </patternFill>
    </fill>
    <fill>
      <patternFill patternType="solid">
        <fgColor theme="9" tint="0.59999389629810485"/>
        <bgColor indexed="64"/>
      </patternFill>
    </fill>
    <fill>
      <patternFill patternType="solid">
        <fgColor theme="9" tint="0.39997558519241921"/>
        <bgColor indexed="64"/>
      </patternFill>
    </fill>
    <fill>
      <patternFill patternType="solid">
        <fgColor rgb="FFFF99CC"/>
        <bgColor indexed="64"/>
      </patternFill>
    </fill>
    <fill>
      <patternFill patternType="solid">
        <fgColor rgb="FF66CCFF"/>
        <bgColor indexed="64"/>
      </patternFill>
    </fill>
    <fill>
      <patternFill patternType="solid">
        <fgColor rgb="FF00B0F0"/>
        <bgColor indexed="64"/>
      </patternFill>
    </fill>
    <fill>
      <patternFill patternType="solid">
        <fgColor theme="1" tint="0.14999847407452621"/>
        <bgColor indexed="64"/>
      </patternFill>
    </fill>
    <fill>
      <patternFill patternType="solid">
        <fgColor theme="2" tint="-0.89999084444715716"/>
        <bgColor indexed="64"/>
      </patternFill>
    </fill>
    <fill>
      <patternFill patternType="solid">
        <fgColor rgb="FFFFC000"/>
        <bgColor indexed="64"/>
      </patternFill>
    </fill>
    <fill>
      <patternFill patternType="solid">
        <fgColor rgb="FF6EE8F8"/>
        <bgColor indexed="64"/>
      </patternFill>
    </fill>
    <fill>
      <patternFill patternType="solid">
        <fgColor theme="7" tint="0.79998168889431442"/>
        <bgColor indexed="64"/>
      </patternFill>
    </fill>
    <fill>
      <patternFill patternType="solid">
        <fgColor theme="2" tint="-0.749992370372631"/>
        <bgColor indexed="64"/>
      </patternFill>
    </fill>
    <fill>
      <patternFill patternType="solid">
        <fgColor rgb="FFFFCC00"/>
        <bgColor indexed="64"/>
      </patternFill>
    </fill>
    <fill>
      <patternFill patternType="solid">
        <fgColor rgb="FF00FFFF"/>
        <bgColor indexed="64"/>
      </patternFill>
    </fill>
    <fill>
      <patternFill patternType="solid">
        <fgColor theme="2" tint="-9.9978637043366805E-2"/>
        <bgColor indexed="64"/>
      </patternFill>
    </fill>
    <fill>
      <patternFill patternType="solid">
        <fgColor theme="7" tint="0.59999389629810485"/>
        <bgColor indexed="64"/>
      </patternFill>
    </fill>
    <fill>
      <patternFill patternType="solid">
        <fgColor theme="0" tint="-0.34998626667073579"/>
        <bgColor indexed="64"/>
      </patternFill>
    </fill>
    <fill>
      <patternFill patternType="solid">
        <fgColor theme="1" tint="0.249977111117893"/>
        <bgColor indexed="64"/>
      </patternFill>
    </fill>
    <fill>
      <patternFill patternType="solid">
        <fgColor theme="2" tint="-0.499984740745262"/>
        <bgColor indexed="64"/>
      </patternFill>
    </fill>
    <fill>
      <patternFill patternType="solid">
        <fgColor rgb="FFFF0000"/>
        <bgColor indexed="64"/>
      </patternFill>
    </fill>
    <fill>
      <patternFill patternType="solid">
        <fgColor rgb="FF00B050"/>
        <bgColor indexed="64"/>
      </patternFill>
    </fill>
    <fill>
      <patternFill patternType="solid">
        <fgColor rgb="FF0070C0"/>
        <bgColor indexed="64"/>
      </patternFill>
    </fill>
    <fill>
      <patternFill patternType="solid">
        <fgColor rgb="FF002060"/>
        <bgColor indexed="64"/>
      </patternFill>
    </fill>
    <fill>
      <patternFill patternType="solid">
        <fgColor rgb="FF7030A0"/>
        <bgColor indexed="64"/>
      </patternFill>
    </fill>
    <fill>
      <patternFill patternType="solid">
        <fgColor rgb="FF990099"/>
        <bgColor indexed="64"/>
      </patternFill>
    </fill>
    <fill>
      <patternFill patternType="solid">
        <fgColor rgb="FFFF33CC"/>
        <bgColor indexed="64"/>
      </patternFill>
    </fill>
    <fill>
      <patternFill patternType="solid">
        <fgColor rgb="FF6600FF"/>
        <bgColor indexed="64"/>
      </patternFill>
    </fill>
    <fill>
      <patternFill patternType="solid">
        <fgColor theme="1" tint="0.34998626667073579"/>
        <bgColor indexed="64"/>
      </patternFill>
    </fill>
    <fill>
      <patternFill patternType="solid">
        <fgColor rgb="FF333399"/>
        <bgColor indexed="64"/>
      </patternFill>
    </fill>
    <fill>
      <patternFill patternType="solid">
        <fgColor rgb="FF0066FF"/>
        <bgColor indexed="64"/>
      </patternFill>
    </fill>
    <fill>
      <patternFill patternType="solid">
        <fgColor rgb="FF33CCFF"/>
        <bgColor indexed="64"/>
      </patternFill>
    </fill>
    <fill>
      <patternFill patternType="solid">
        <fgColor rgb="FF00FFCC"/>
        <bgColor indexed="64"/>
      </patternFill>
    </fill>
    <fill>
      <patternFill patternType="solid">
        <fgColor theme="8" tint="-0.499984740745262"/>
        <bgColor indexed="64"/>
      </patternFill>
    </fill>
    <fill>
      <patternFill patternType="solid">
        <fgColor theme="8" tint="-0.249977111117893"/>
        <bgColor indexed="64"/>
      </patternFill>
    </fill>
    <fill>
      <patternFill patternType="solid">
        <fgColor theme="4" tint="-0.499984740745262"/>
        <bgColor indexed="64"/>
      </patternFill>
    </fill>
    <fill>
      <patternFill patternType="solid">
        <fgColor rgb="FF00FF99"/>
        <bgColor indexed="64"/>
      </patternFill>
    </fill>
    <fill>
      <patternFill patternType="solid">
        <fgColor rgb="FF66FF66"/>
        <bgColor indexed="64"/>
      </patternFill>
    </fill>
    <fill>
      <patternFill patternType="solid">
        <fgColor rgb="FF00FF00"/>
        <bgColor indexed="64"/>
      </patternFill>
    </fill>
    <fill>
      <patternFill patternType="solid">
        <fgColor rgb="FF99FF33"/>
        <bgColor indexed="64"/>
      </patternFill>
    </fill>
    <fill>
      <patternFill patternType="solid">
        <fgColor rgb="FFFC9E04"/>
        <bgColor indexed="64"/>
      </patternFill>
    </fill>
    <fill>
      <patternFill patternType="solid">
        <fgColor rgb="FFFA7D00"/>
        <bgColor indexed="64"/>
      </patternFill>
    </fill>
    <fill>
      <patternFill patternType="solid">
        <fgColor rgb="FFE66300"/>
        <bgColor indexed="64"/>
      </patternFill>
    </fill>
    <fill>
      <patternFill patternType="solid">
        <fgColor rgb="FFEA3D00"/>
        <bgColor indexed="64"/>
      </patternFill>
    </fill>
    <fill>
      <patternFill patternType="solid">
        <fgColor rgb="FFCCFF33"/>
        <bgColor indexed="64"/>
      </patternFill>
    </fill>
    <fill>
      <patternFill patternType="solid">
        <fgColor rgb="FFC1FE16"/>
        <bgColor indexed="64"/>
      </patternFill>
    </fill>
    <fill>
      <patternFill patternType="solid">
        <fgColor rgb="FFFEDB06"/>
        <bgColor indexed="64"/>
      </patternFill>
    </fill>
    <fill>
      <patternFill patternType="solid">
        <fgColor rgb="FFFEC906"/>
        <bgColor indexed="64"/>
      </patternFill>
    </fill>
    <fill>
      <patternFill patternType="solid">
        <fgColor rgb="FFFCA508"/>
        <bgColor indexed="64"/>
      </patternFill>
    </fill>
    <fill>
      <patternFill patternType="solid">
        <fgColor rgb="FFFA880A"/>
        <bgColor indexed="64"/>
      </patternFill>
    </fill>
    <fill>
      <patternFill patternType="solid">
        <fgColor rgb="FFFA8D0A"/>
        <bgColor indexed="64"/>
      </patternFill>
    </fill>
    <fill>
      <patternFill patternType="solid">
        <fgColor rgb="FFFC6508"/>
        <bgColor indexed="64"/>
      </patternFill>
    </fill>
    <fill>
      <patternFill patternType="solid">
        <fgColor rgb="FFFFDB05"/>
        <bgColor indexed="64"/>
      </patternFill>
    </fill>
    <fill>
      <patternFill patternType="solid">
        <fgColor rgb="FFF9AA0B"/>
        <bgColor indexed="64"/>
      </patternFill>
    </fill>
    <fill>
      <patternFill patternType="solid">
        <fgColor rgb="FFFF5601"/>
        <bgColor indexed="64"/>
      </patternFill>
    </fill>
    <fill>
      <patternFill patternType="solid">
        <fgColor rgb="FFFC3904"/>
        <bgColor indexed="64"/>
      </patternFill>
    </fill>
    <fill>
      <patternFill patternType="solid">
        <fgColor rgb="FFFF2501"/>
        <bgColor indexed="64"/>
      </patternFill>
    </fill>
    <fill>
      <patternFill patternType="solid">
        <fgColor rgb="FFE67800"/>
        <bgColor indexed="64"/>
      </patternFill>
    </fill>
    <fill>
      <patternFill patternType="solid">
        <fgColor rgb="FFE57801"/>
        <bgColor indexed="64"/>
      </patternFill>
    </fill>
    <fill>
      <patternFill patternType="solid">
        <fgColor rgb="FFF79403"/>
        <bgColor indexed="64"/>
      </patternFill>
    </fill>
    <fill>
      <patternFill patternType="solid">
        <fgColor rgb="FFFCC808"/>
        <bgColor indexed="64"/>
      </patternFill>
    </fill>
    <fill>
      <patternFill patternType="solid">
        <fgColor theme="0" tint="-0.499984740745262"/>
        <bgColor indexed="64"/>
      </patternFill>
    </fill>
    <fill>
      <patternFill patternType="solid">
        <fgColor rgb="FF00D9EA"/>
        <bgColor indexed="64"/>
      </patternFill>
    </fill>
  </fills>
  <borders count="89">
    <border>
      <left/>
      <right/>
      <top/>
      <bottom/>
      <diagonal/>
    </border>
    <border>
      <left style="thin">
        <color rgb="FF808080"/>
      </left>
      <right style="thin">
        <color rgb="FF808080"/>
      </right>
      <top style="thin">
        <color rgb="FF808080"/>
      </top>
      <bottom style="thin">
        <color rgb="FF808080"/>
      </bottom>
      <diagonal/>
    </border>
    <border>
      <left/>
      <right/>
      <top/>
      <bottom style="thin">
        <color theme="1" tint="0.499984740745262"/>
      </bottom>
      <diagonal/>
    </border>
    <border>
      <left/>
      <right/>
      <top/>
      <bottom style="thin">
        <color indexed="64"/>
      </bottom>
      <diagonal/>
    </border>
    <border>
      <left style="thin">
        <color rgb="FFFFCC00"/>
      </left>
      <right style="thin">
        <color rgb="FFFFCC00"/>
      </right>
      <top style="thin">
        <color rgb="FFFFCC00"/>
      </top>
      <bottom style="thin">
        <color rgb="FFFFCC00"/>
      </bottom>
      <diagonal/>
    </border>
    <border>
      <left/>
      <right/>
      <top style="thin">
        <color rgb="FFFFCC00"/>
      </top>
      <bottom style="thin">
        <color rgb="FFFFCC00"/>
      </bottom>
      <diagonal/>
    </border>
    <border>
      <left style="thin">
        <color rgb="FFFFCC00"/>
      </left>
      <right style="thin">
        <color rgb="FF00FFFF"/>
      </right>
      <top style="thin">
        <color rgb="FFFFCC00"/>
      </top>
      <bottom style="thin">
        <color rgb="FFFFCC00"/>
      </bottom>
      <diagonal/>
    </border>
    <border>
      <left/>
      <right/>
      <top style="thin">
        <color rgb="FF00FFFF"/>
      </top>
      <bottom/>
      <diagonal/>
    </border>
    <border>
      <left style="thin">
        <color rgb="FF00FFFF"/>
      </left>
      <right/>
      <top style="thin">
        <color rgb="FF00FFFF"/>
      </top>
      <bottom/>
      <diagonal/>
    </border>
    <border>
      <left style="thin">
        <color rgb="FF00FFFF"/>
      </left>
      <right style="thin">
        <color rgb="FF00FFFF"/>
      </right>
      <top style="thin">
        <color rgb="FF00FFFF"/>
      </top>
      <bottom style="thin">
        <color rgb="FF00FFFF"/>
      </bottom>
      <diagonal/>
    </border>
    <border>
      <left style="thin">
        <color rgb="FF00FFFF"/>
      </left>
      <right/>
      <top style="thin">
        <color rgb="FFFFCC00"/>
      </top>
      <bottom style="thin">
        <color rgb="FFFFCC00"/>
      </bottom>
      <diagonal/>
    </border>
    <border>
      <left/>
      <right style="thin">
        <color rgb="FFFFCC00"/>
      </right>
      <top style="thin">
        <color rgb="FFFFCC00"/>
      </top>
      <bottom style="thin">
        <color rgb="FFFFCC00"/>
      </bottom>
      <diagonal/>
    </border>
    <border>
      <left/>
      <right/>
      <top style="thin">
        <color rgb="FFFFCC00"/>
      </top>
      <bottom/>
      <diagonal/>
    </border>
    <border>
      <left style="thin">
        <color rgb="FFFFCC00"/>
      </left>
      <right/>
      <top style="thin">
        <color rgb="FFFFCC00"/>
      </top>
      <bottom style="thin">
        <color rgb="FFFFCC00"/>
      </bottom>
      <diagonal/>
    </border>
    <border>
      <left style="thin">
        <color rgb="FF00FFFF"/>
      </left>
      <right style="thin">
        <color rgb="FFFFCC00"/>
      </right>
      <top style="thin">
        <color rgb="FFFFCC00"/>
      </top>
      <bottom style="thin">
        <color rgb="FFFFCC00"/>
      </bottom>
      <diagonal/>
    </border>
    <border>
      <left style="thin">
        <color theme="2" tint="-0.749992370372631"/>
      </left>
      <right style="thin">
        <color theme="2" tint="-0.749992370372631"/>
      </right>
      <top style="thin">
        <color theme="2" tint="-0.749992370372631"/>
      </top>
      <bottom style="thin">
        <color theme="2" tint="-0.749992370372631"/>
      </bottom>
      <diagonal/>
    </border>
    <border>
      <left style="thin">
        <color theme="2" tint="-0.749992370372631"/>
      </left>
      <right/>
      <top style="thin">
        <color theme="2" tint="-0.749992370372631"/>
      </top>
      <bottom style="thin">
        <color theme="2" tint="-0.749992370372631"/>
      </bottom>
      <diagonal/>
    </border>
    <border>
      <left/>
      <right style="thin">
        <color theme="2" tint="-0.749992370372631"/>
      </right>
      <top style="thin">
        <color theme="2" tint="-0.749992370372631"/>
      </top>
      <bottom style="thin">
        <color theme="2" tint="-0.749992370372631"/>
      </bottom>
      <diagonal/>
    </border>
    <border>
      <left style="thin">
        <color theme="2" tint="-0.749992370372631"/>
      </left>
      <right style="thin">
        <color theme="2" tint="-0.749992370372631"/>
      </right>
      <top style="thin">
        <color theme="2" tint="-0.749992370372631"/>
      </top>
      <bottom/>
      <diagonal/>
    </border>
    <border>
      <left style="thin">
        <color theme="2" tint="-0.749992370372631"/>
      </left>
      <right style="thin">
        <color theme="2" tint="-0.749992370372631"/>
      </right>
      <top/>
      <bottom style="thin">
        <color theme="2" tint="-0.749992370372631"/>
      </bottom>
      <diagonal/>
    </border>
    <border>
      <left style="medium">
        <color theme="2" tint="-0.499984740745262"/>
      </left>
      <right style="thin">
        <color theme="2" tint="-0.749992370372631"/>
      </right>
      <top style="medium">
        <color theme="2" tint="-0.499984740745262"/>
      </top>
      <bottom style="medium">
        <color theme="2" tint="-0.499984740745262"/>
      </bottom>
      <diagonal/>
    </border>
    <border>
      <left style="thin">
        <color theme="2" tint="-0.749992370372631"/>
      </left>
      <right style="thin">
        <color theme="2" tint="-0.749992370372631"/>
      </right>
      <top style="medium">
        <color theme="2" tint="-0.499984740745262"/>
      </top>
      <bottom style="medium">
        <color theme="2" tint="-0.499984740745262"/>
      </bottom>
      <diagonal/>
    </border>
    <border>
      <left style="thin">
        <color theme="2" tint="-0.749992370372631"/>
      </left>
      <right style="medium">
        <color theme="2" tint="-0.499984740745262"/>
      </right>
      <top style="medium">
        <color theme="2" tint="-0.499984740745262"/>
      </top>
      <bottom style="medium">
        <color theme="2" tint="-0.499984740745262"/>
      </bottom>
      <diagonal/>
    </border>
    <border>
      <left style="medium">
        <color theme="2" tint="-0.499984740745262"/>
      </left>
      <right style="thin">
        <color theme="2" tint="-0.749992370372631"/>
      </right>
      <top style="medium">
        <color theme="2" tint="-0.499984740745262"/>
      </top>
      <bottom style="thin">
        <color theme="2" tint="-0.749992370372631"/>
      </bottom>
      <diagonal/>
    </border>
    <border>
      <left style="thin">
        <color theme="2" tint="-0.749992370372631"/>
      </left>
      <right style="thin">
        <color theme="2" tint="-0.749992370372631"/>
      </right>
      <top style="medium">
        <color theme="2" tint="-0.499984740745262"/>
      </top>
      <bottom style="thin">
        <color theme="2" tint="-0.749992370372631"/>
      </bottom>
      <diagonal/>
    </border>
    <border>
      <left style="thin">
        <color theme="2" tint="-0.749992370372631"/>
      </left>
      <right style="medium">
        <color theme="2" tint="-0.499984740745262"/>
      </right>
      <top style="medium">
        <color theme="2" tint="-0.499984740745262"/>
      </top>
      <bottom style="thin">
        <color theme="2" tint="-0.749992370372631"/>
      </bottom>
      <diagonal/>
    </border>
    <border>
      <left style="medium">
        <color theme="2" tint="-0.499984740745262"/>
      </left>
      <right style="thin">
        <color theme="2" tint="-0.749992370372631"/>
      </right>
      <top style="thin">
        <color theme="2" tint="-0.749992370372631"/>
      </top>
      <bottom style="thin">
        <color theme="2" tint="-0.749992370372631"/>
      </bottom>
      <diagonal/>
    </border>
    <border>
      <left style="thin">
        <color theme="2" tint="-0.749992370372631"/>
      </left>
      <right style="medium">
        <color theme="2" tint="-0.499984740745262"/>
      </right>
      <top style="thin">
        <color theme="2" tint="-0.749992370372631"/>
      </top>
      <bottom style="thin">
        <color theme="2" tint="-0.749992370372631"/>
      </bottom>
      <diagonal/>
    </border>
    <border>
      <left style="medium">
        <color theme="2" tint="-0.499984740745262"/>
      </left>
      <right/>
      <top style="thin">
        <color theme="2" tint="-0.749992370372631"/>
      </top>
      <bottom style="thin">
        <color theme="2" tint="-0.749992370372631"/>
      </bottom>
      <diagonal/>
    </border>
    <border>
      <left/>
      <right style="medium">
        <color theme="2" tint="-0.499984740745262"/>
      </right>
      <top style="thin">
        <color theme="2" tint="-0.749992370372631"/>
      </top>
      <bottom style="thin">
        <color theme="2" tint="-0.749992370372631"/>
      </bottom>
      <diagonal/>
    </border>
    <border>
      <left style="medium">
        <color theme="2" tint="-0.499984740745262"/>
      </left>
      <right style="thin">
        <color theme="2" tint="-0.749992370372631"/>
      </right>
      <top style="thin">
        <color theme="2" tint="-0.749992370372631"/>
      </top>
      <bottom style="medium">
        <color theme="2" tint="-0.499984740745262"/>
      </bottom>
      <diagonal/>
    </border>
    <border>
      <left style="thin">
        <color theme="2" tint="-0.749992370372631"/>
      </left>
      <right style="thin">
        <color theme="2" tint="-0.749992370372631"/>
      </right>
      <top style="thin">
        <color theme="2" tint="-0.749992370372631"/>
      </top>
      <bottom style="medium">
        <color theme="2" tint="-0.499984740745262"/>
      </bottom>
      <diagonal/>
    </border>
    <border>
      <left style="thin">
        <color theme="2" tint="-0.749992370372631"/>
      </left>
      <right style="medium">
        <color theme="2" tint="-0.499984740745262"/>
      </right>
      <top style="thin">
        <color theme="2" tint="-0.749992370372631"/>
      </top>
      <bottom style="medium">
        <color theme="2" tint="-0.499984740745262"/>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thin">
        <color theme="2" tint="-0.749992370372631"/>
      </left>
      <right style="thin">
        <color theme="2" tint="-0.749992370372631"/>
      </right>
      <top style="thin">
        <color theme="2" tint="-0.749992370372631"/>
      </top>
      <bottom style="medium">
        <color theme="0" tint="-0.14999847407452621"/>
      </bottom>
      <diagonal/>
    </border>
    <border>
      <left style="thin">
        <color theme="0" tint="-0.14999847407452621"/>
      </left>
      <right style="thin">
        <color theme="2" tint="-0.749992370372631"/>
      </right>
      <top style="thin">
        <color theme="0" tint="-0.14999847407452621"/>
      </top>
      <bottom style="thin">
        <color theme="0" tint="-0.14999847407452621"/>
      </bottom>
      <diagonal/>
    </border>
    <border>
      <left style="thin">
        <color theme="2" tint="-0.749992370372631"/>
      </left>
      <right style="thin">
        <color theme="2" tint="-0.749992370372631"/>
      </right>
      <top style="thin">
        <color theme="0" tint="-0.14999847407452621"/>
      </top>
      <bottom style="thin">
        <color theme="0" tint="-0.14999847407452621"/>
      </bottom>
      <diagonal/>
    </border>
    <border>
      <left style="thin">
        <color theme="2" tint="-0.749992370372631"/>
      </left>
      <right style="thin">
        <color theme="0" tint="-0.14999847407452621"/>
      </right>
      <top style="thin">
        <color theme="0" tint="-0.14999847407452621"/>
      </top>
      <bottom style="thin">
        <color theme="0" tint="-0.14999847407452621"/>
      </bottom>
      <diagonal/>
    </border>
    <border>
      <left style="medium">
        <color theme="0" tint="-0.14999847407452621"/>
      </left>
      <right style="thin">
        <color theme="2" tint="-0.749992370372631"/>
      </right>
      <top style="medium">
        <color theme="0" tint="-0.14999847407452621"/>
      </top>
      <bottom style="medium">
        <color theme="0" tint="-0.14999847407452621"/>
      </bottom>
      <diagonal/>
    </border>
    <border>
      <left style="thin">
        <color theme="2" tint="-0.749992370372631"/>
      </left>
      <right style="thin">
        <color theme="2" tint="-0.749992370372631"/>
      </right>
      <top style="medium">
        <color theme="0" tint="-0.14999847407452621"/>
      </top>
      <bottom style="medium">
        <color theme="0" tint="-0.14999847407452621"/>
      </bottom>
      <diagonal/>
    </border>
    <border>
      <left style="thin">
        <color theme="2" tint="-0.749992370372631"/>
      </left>
      <right style="medium">
        <color theme="0" tint="-0.14999847407452621"/>
      </right>
      <top style="medium">
        <color theme="0" tint="-0.14999847407452621"/>
      </top>
      <bottom style="medium">
        <color theme="0" tint="-0.14999847407452621"/>
      </bottom>
      <diagonal/>
    </border>
    <border>
      <left/>
      <right/>
      <top style="thin">
        <color theme="2" tint="-0.749992370372631"/>
      </top>
      <bottom style="thin">
        <color theme="2" tint="-0.749992370372631"/>
      </bottom>
      <diagonal/>
    </border>
    <border>
      <left style="thin">
        <color theme="2" tint="-0.749992370372631"/>
      </left>
      <right/>
      <top style="thin">
        <color theme="2" tint="-0.749992370372631"/>
      </top>
      <bottom style="medium">
        <color theme="0" tint="-0.14999847407452621"/>
      </bottom>
      <diagonal/>
    </border>
    <border>
      <left/>
      <right style="thin">
        <color theme="2" tint="-0.749992370372631"/>
      </right>
      <top style="thin">
        <color theme="2" tint="-0.749992370372631"/>
      </top>
      <bottom style="medium">
        <color theme="0" tint="-0.14999847407452621"/>
      </bottom>
      <diagonal/>
    </border>
    <border>
      <left style="thin">
        <color theme="2" tint="-0.749992370372631"/>
      </left>
      <right/>
      <top style="medium">
        <color theme="0" tint="-0.14999847407452621"/>
      </top>
      <bottom style="thin">
        <color theme="2" tint="-0.749992370372631"/>
      </bottom>
      <diagonal/>
    </border>
    <border>
      <left/>
      <right style="thin">
        <color theme="2" tint="-0.749992370372631"/>
      </right>
      <top style="medium">
        <color theme="0" tint="-0.14999847407452621"/>
      </top>
      <bottom style="thin">
        <color theme="2" tint="-0.749992370372631"/>
      </bottom>
      <diagonal/>
    </border>
    <border>
      <left style="medium">
        <color theme="0" tint="-0.249977111117893"/>
      </left>
      <right style="thin">
        <color theme="2" tint="-0.749992370372631"/>
      </right>
      <top style="medium">
        <color theme="0" tint="-0.249977111117893"/>
      </top>
      <bottom style="medium">
        <color theme="0" tint="-0.249977111117893"/>
      </bottom>
      <diagonal/>
    </border>
    <border>
      <left style="thin">
        <color theme="2" tint="-0.749992370372631"/>
      </left>
      <right style="thin">
        <color theme="2" tint="-0.749992370372631"/>
      </right>
      <top style="medium">
        <color theme="0" tint="-0.249977111117893"/>
      </top>
      <bottom style="medium">
        <color theme="0" tint="-0.249977111117893"/>
      </bottom>
      <diagonal/>
    </border>
    <border>
      <left style="thin">
        <color theme="2" tint="-0.749992370372631"/>
      </left>
      <right style="medium">
        <color theme="0" tint="-0.249977111117893"/>
      </right>
      <top style="medium">
        <color theme="0" tint="-0.249977111117893"/>
      </top>
      <bottom style="medium">
        <color theme="0" tint="-0.249977111117893"/>
      </bottom>
      <diagonal/>
    </border>
    <border>
      <left style="thin">
        <color theme="2" tint="-0.749992370372631"/>
      </left>
      <right style="thin">
        <color theme="2" tint="-0.749992370372631"/>
      </right>
      <top style="thin">
        <color theme="2" tint="-0.749992370372631"/>
      </top>
      <bottom style="medium">
        <color theme="0" tint="-0.249977111117893"/>
      </bottom>
      <diagonal/>
    </border>
    <border>
      <left/>
      <right style="medium">
        <color theme="0" tint="-0.249977111117893"/>
      </right>
      <top style="medium">
        <color theme="0" tint="-0.249977111117893"/>
      </top>
      <bottom style="medium">
        <color theme="0" tint="-0.249977111117893"/>
      </bottom>
      <diagonal/>
    </border>
    <border>
      <left style="medium">
        <color theme="0" tint="-0.249977111117893"/>
      </left>
      <right style="thin">
        <color theme="2" tint="-0.749992370372631"/>
      </right>
      <top style="medium">
        <color theme="0" tint="-0.249977111117893"/>
      </top>
      <bottom style="thin">
        <color theme="2" tint="-0.749992370372631"/>
      </bottom>
      <diagonal/>
    </border>
    <border>
      <left style="thin">
        <color theme="2" tint="-0.749992370372631"/>
      </left>
      <right style="thin">
        <color theme="2" tint="-0.749992370372631"/>
      </right>
      <top style="medium">
        <color theme="0" tint="-0.249977111117893"/>
      </top>
      <bottom style="thin">
        <color theme="2" tint="-0.749992370372631"/>
      </bottom>
      <diagonal/>
    </border>
    <border>
      <left style="thin">
        <color theme="2" tint="-0.749992370372631"/>
      </left>
      <right style="medium">
        <color theme="0" tint="-0.249977111117893"/>
      </right>
      <top style="medium">
        <color theme="0" tint="-0.249977111117893"/>
      </top>
      <bottom style="thin">
        <color theme="2" tint="-0.749992370372631"/>
      </bottom>
      <diagonal/>
    </border>
    <border>
      <left style="medium">
        <color theme="0" tint="-0.249977111117893"/>
      </left>
      <right style="thin">
        <color theme="2" tint="-0.749992370372631"/>
      </right>
      <top style="thin">
        <color theme="2" tint="-0.749992370372631"/>
      </top>
      <bottom style="thin">
        <color theme="2" tint="-0.749992370372631"/>
      </bottom>
      <diagonal/>
    </border>
    <border>
      <left style="thin">
        <color theme="2" tint="-0.749992370372631"/>
      </left>
      <right style="medium">
        <color theme="0" tint="-0.249977111117893"/>
      </right>
      <top style="thin">
        <color theme="2" tint="-0.749992370372631"/>
      </top>
      <bottom style="thin">
        <color theme="2" tint="-0.749992370372631"/>
      </bottom>
      <diagonal/>
    </border>
    <border>
      <left style="medium">
        <color theme="0" tint="-0.249977111117893"/>
      </left>
      <right style="thin">
        <color theme="2" tint="-0.749992370372631"/>
      </right>
      <top style="thin">
        <color theme="2" tint="-0.749992370372631"/>
      </top>
      <bottom style="medium">
        <color theme="0" tint="-0.249977111117893"/>
      </bottom>
      <diagonal/>
    </border>
    <border>
      <left style="thin">
        <color theme="2" tint="-0.749992370372631"/>
      </left>
      <right style="medium">
        <color theme="0" tint="-0.249977111117893"/>
      </right>
      <top style="thin">
        <color theme="2" tint="-0.749992370372631"/>
      </top>
      <bottom style="medium">
        <color theme="0" tint="-0.249977111117893"/>
      </bottom>
      <diagonal/>
    </border>
    <border>
      <left style="thin">
        <color theme="2" tint="-0.749992370372631"/>
      </left>
      <right/>
      <top style="thin">
        <color theme="2" tint="-0.749992370372631"/>
      </top>
      <bottom/>
      <diagonal/>
    </border>
    <border>
      <left/>
      <right style="thin">
        <color theme="2" tint="-0.749992370372631"/>
      </right>
      <top style="thin">
        <color theme="2" tint="-0.749992370372631"/>
      </top>
      <bottom/>
      <diagonal/>
    </border>
    <border>
      <left style="thin">
        <color theme="2" tint="-0.749992370372631"/>
      </left>
      <right/>
      <top/>
      <bottom style="thin">
        <color theme="2" tint="-0.749992370372631"/>
      </bottom>
      <diagonal/>
    </border>
    <border>
      <left/>
      <right style="thin">
        <color theme="2" tint="-0.749992370372631"/>
      </right>
      <top/>
      <bottom style="thin">
        <color theme="2" tint="-0.749992370372631"/>
      </bottom>
      <diagonal/>
    </border>
    <border>
      <left style="medium">
        <color theme="0" tint="-0.34998626667073579"/>
      </left>
      <right/>
      <top style="medium">
        <color theme="0" tint="-0.34998626667073579"/>
      </top>
      <bottom style="medium">
        <color theme="0" tint="-0.34998626667073579"/>
      </bottom>
      <diagonal/>
    </border>
    <border>
      <left/>
      <right/>
      <top style="medium">
        <color theme="0" tint="-0.34998626667073579"/>
      </top>
      <bottom style="medium">
        <color theme="0" tint="-0.34998626667073579"/>
      </bottom>
      <diagonal/>
    </border>
    <border>
      <left/>
      <right style="medium">
        <color theme="0" tint="-0.34998626667073579"/>
      </right>
      <top style="medium">
        <color theme="0" tint="-0.34998626667073579"/>
      </top>
      <bottom style="medium">
        <color theme="0" tint="-0.34998626667073579"/>
      </bottom>
      <diagonal/>
    </border>
    <border>
      <left/>
      <right/>
      <top/>
      <bottom style="medium">
        <color theme="0" tint="-0.34998626667073579"/>
      </bottom>
      <diagonal/>
    </border>
    <border>
      <left style="medium">
        <color theme="2" tint="-0.249977111117893"/>
      </left>
      <right/>
      <top style="medium">
        <color theme="2" tint="-0.249977111117893"/>
      </top>
      <bottom style="medium">
        <color theme="2" tint="-0.249977111117893"/>
      </bottom>
      <diagonal/>
    </border>
    <border>
      <left/>
      <right/>
      <top style="medium">
        <color theme="2" tint="-0.249977111117893"/>
      </top>
      <bottom style="medium">
        <color theme="2" tint="-0.249977111117893"/>
      </bottom>
      <diagonal/>
    </border>
    <border>
      <left/>
      <right style="medium">
        <color theme="2" tint="-0.249977111117893"/>
      </right>
      <top style="medium">
        <color theme="2" tint="-0.249977111117893"/>
      </top>
      <bottom style="medium">
        <color theme="2" tint="-0.249977111117893"/>
      </bottom>
      <diagonal/>
    </border>
    <border>
      <left style="medium">
        <color theme="2" tint="-0.249977111117893"/>
      </left>
      <right/>
      <top style="medium">
        <color theme="2" tint="-0.249977111117893"/>
      </top>
      <bottom/>
      <diagonal/>
    </border>
    <border>
      <left/>
      <right/>
      <top style="medium">
        <color theme="2" tint="-0.249977111117893"/>
      </top>
      <bottom/>
      <diagonal/>
    </border>
    <border>
      <left/>
      <right style="medium">
        <color theme="2" tint="-0.249977111117893"/>
      </right>
      <top style="medium">
        <color theme="2" tint="-0.249977111117893"/>
      </top>
      <bottom/>
      <diagonal/>
    </border>
    <border>
      <left style="medium">
        <color theme="2" tint="-0.249977111117893"/>
      </left>
      <right/>
      <top/>
      <bottom/>
      <diagonal/>
    </border>
    <border>
      <left/>
      <right style="medium">
        <color theme="2" tint="-0.249977111117893"/>
      </right>
      <top/>
      <bottom/>
      <diagonal/>
    </border>
    <border>
      <left style="medium">
        <color theme="2" tint="-0.249977111117893"/>
      </left>
      <right/>
      <top/>
      <bottom style="medium">
        <color theme="2" tint="-0.249977111117893"/>
      </bottom>
      <diagonal/>
    </border>
    <border>
      <left/>
      <right/>
      <top/>
      <bottom style="medium">
        <color theme="2" tint="-0.249977111117893"/>
      </bottom>
      <diagonal/>
    </border>
    <border>
      <left/>
      <right style="medium">
        <color theme="2" tint="-0.249977111117893"/>
      </right>
      <top/>
      <bottom style="medium">
        <color theme="2" tint="-0.249977111117893"/>
      </bottom>
      <diagonal/>
    </border>
    <border>
      <left style="medium">
        <color theme="2" tint="-9.9978637043366805E-2"/>
      </left>
      <right style="medium">
        <color theme="2" tint="-9.9978637043366805E-2"/>
      </right>
      <top style="medium">
        <color theme="2" tint="-9.9978637043366805E-2"/>
      </top>
      <bottom style="medium">
        <color theme="2" tint="-9.9978637043366805E-2"/>
      </bottom>
      <diagonal/>
    </border>
    <border>
      <left style="medium">
        <color theme="2" tint="-9.9978637043366805E-2"/>
      </left>
      <right/>
      <top style="medium">
        <color theme="2" tint="-9.9978637043366805E-2"/>
      </top>
      <bottom/>
      <diagonal/>
    </border>
    <border>
      <left/>
      <right style="medium">
        <color theme="2" tint="-9.9978637043366805E-2"/>
      </right>
      <top style="medium">
        <color theme="2" tint="-9.9978637043366805E-2"/>
      </top>
      <bottom/>
      <diagonal/>
    </border>
    <border>
      <left style="medium">
        <color theme="2" tint="-9.9978637043366805E-2"/>
      </left>
      <right/>
      <top/>
      <bottom/>
      <diagonal/>
    </border>
    <border>
      <left/>
      <right style="medium">
        <color theme="2" tint="-9.9978637043366805E-2"/>
      </right>
      <top/>
      <bottom/>
      <diagonal/>
    </border>
    <border>
      <left style="medium">
        <color theme="2" tint="-9.9978637043366805E-2"/>
      </left>
      <right/>
      <top/>
      <bottom style="medium">
        <color theme="2" tint="-9.9978637043366805E-2"/>
      </bottom>
      <diagonal/>
    </border>
    <border>
      <left/>
      <right style="medium">
        <color theme="2" tint="-9.9978637043366805E-2"/>
      </right>
      <top/>
      <bottom style="medium">
        <color theme="2" tint="-9.9978637043366805E-2"/>
      </bottom>
      <diagonal/>
    </border>
  </borders>
  <cellStyleXfs count="18">
    <xf numFmtId="0" fontId="0" fillId="0" borderId="0"/>
    <xf numFmtId="0" fontId="9" fillId="0" borderId="0"/>
    <xf numFmtId="0" fontId="10" fillId="0" borderId="0"/>
    <xf numFmtId="0" fontId="7" fillId="7" borderId="0"/>
    <xf numFmtId="0" fontId="4" fillId="5" borderId="0"/>
    <xf numFmtId="0" fontId="11" fillId="8" borderId="0"/>
    <xf numFmtId="0" fontId="12" fillId="8" borderId="1"/>
    <xf numFmtId="0" fontId="2" fillId="0" borderId="0"/>
    <xf numFmtId="0" fontId="3" fillId="2" borderId="0"/>
    <xf numFmtId="0" fontId="3" fillId="3" borderId="0"/>
    <xf numFmtId="0" fontId="2" fillId="4" borderId="0"/>
    <xf numFmtId="0" fontId="5" fillId="6" borderId="0"/>
    <xf numFmtId="0" fontId="6" fillId="0" borderId="0"/>
    <xf numFmtId="0" fontId="8" fillId="0" borderId="0"/>
    <xf numFmtId="0" fontId="1" fillId="0" borderId="0"/>
    <xf numFmtId="0" fontId="1" fillId="0" borderId="0"/>
    <xf numFmtId="0" fontId="4" fillId="0" borderId="0"/>
    <xf numFmtId="43" fontId="1" fillId="0" borderId="0" applyFont="0" applyFill="0" applyBorder="0" applyAlignment="0" applyProtection="0"/>
  </cellStyleXfs>
  <cellXfs count="338">
    <xf numFmtId="0" fontId="0" fillId="0" borderId="0" xfId="0"/>
    <xf numFmtId="0" fontId="0" fillId="0" borderId="0" xfId="0" applyAlignment="1">
      <alignment horizontal="center"/>
    </xf>
    <xf numFmtId="0" fontId="0" fillId="4" borderId="0" xfId="0" applyFill="1"/>
    <xf numFmtId="0" fontId="0" fillId="0" borderId="0" xfId="0" applyAlignment="1">
      <alignment horizontal="right"/>
    </xf>
    <xf numFmtId="0" fontId="0" fillId="0" borderId="0" xfId="0" applyAlignment="1">
      <alignment horizontal="center" vertical="center"/>
    </xf>
    <xf numFmtId="0" fontId="13" fillId="0" borderId="0" xfId="0" applyFont="1" applyAlignment="1">
      <alignment horizontal="center"/>
    </xf>
    <xf numFmtId="0" fontId="13" fillId="9" borderId="0" xfId="0" applyFont="1" applyFill="1" applyAlignment="1">
      <alignment horizontal="center"/>
    </xf>
    <xf numFmtId="0" fontId="13" fillId="10" borderId="0" xfId="0" applyFont="1" applyFill="1" applyAlignment="1">
      <alignment horizontal="center"/>
    </xf>
    <xf numFmtId="0" fontId="13" fillId="11" borderId="0" xfId="0" applyFont="1" applyFill="1" applyAlignment="1">
      <alignment horizontal="center"/>
    </xf>
    <xf numFmtId="170" fontId="0" fillId="9" borderId="0" xfId="0" applyNumberFormat="1" applyFill="1" applyAlignment="1">
      <alignment horizontal="center"/>
    </xf>
    <xf numFmtId="1" fontId="0" fillId="0" borderId="0" xfId="0" applyNumberFormat="1" applyFill="1" applyAlignment="1">
      <alignment horizontal="center"/>
    </xf>
    <xf numFmtId="2" fontId="0" fillId="12" borderId="0" xfId="0" applyNumberFormat="1" applyFill="1" applyAlignment="1">
      <alignment horizontal="center"/>
    </xf>
    <xf numFmtId="0" fontId="13" fillId="0" borderId="0" xfId="0" applyFont="1"/>
    <xf numFmtId="171" fontId="0" fillId="11" borderId="0" xfId="0" applyNumberFormat="1" applyFill="1" applyAlignment="1">
      <alignment horizontal="center"/>
    </xf>
    <xf numFmtId="0" fontId="0" fillId="0" borderId="0" xfId="0" applyAlignment="1">
      <alignment horizontal="left"/>
    </xf>
    <xf numFmtId="0" fontId="0" fillId="13" borderId="0" xfId="0" applyFill="1" applyAlignment="1">
      <alignment horizontal="center"/>
    </xf>
    <xf numFmtId="0" fontId="0" fillId="14" borderId="0" xfId="0" applyFill="1" applyAlignment="1">
      <alignment horizontal="center"/>
    </xf>
    <xf numFmtId="0" fontId="0" fillId="15" borderId="0" xfId="0" applyFill="1" applyAlignment="1">
      <alignment horizontal="center"/>
    </xf>
    <xf numFmtId="0" fontId="0" fillId="17" borderId="0" xfId="0" applyFill="1" applyAlignment="1">
      <alignment horizontal="center"/>
    </xf>
    <xf numFmtId="0" fontId="0" fillId="20" borderId="0" xfId="0" applyFill="1" applyAlignment="1">
      <alignment horizontal="center"/>
    </xf>
    <xf numFmtId="0" fontId="14" fillId="0" borderId="0" xfId="0" applyFont="1" applyAlignment="1">
      <alignment horizontal="justify" vertical="center" wrapText="1"/>
    </xf>
    <xf numFmtId="0" fontId="15" fillId="0" borderId="0" xfId="0" applyFont="1" applyAlignment="1">
      <alignment horizontal="justify" vertical="center" wrapText="1"/>
    </xf>
    <xf numFmtId="0" fontId="17" fillId="0" borderId="0" xfId="0" applyFont="1" applyAlignment="1">
      <alignment horizontal="center" vertical="center"/>
    </xf>
    <xf numFmtId="0" fontId="16" fillId="0" borderId="0" xfId="0" applyFont="1" applyAlignment="1">
      <alignment horizontal="center"/>
    </xf>
    <xf numFmtId="0" fontId="16" fillId="0" borderId="0" xfId="0" applyFont="1"/>
    <xf numFmtId="0" fontId="16" fillId="0" borderId="0" xfId="0" applyFont="1" applyAlignment="1">
      <alignment wrapText="1"/>
    </xf>
    <xf numFmtId="0" fontId="19" fillId="0" borderId="0" xfId="0" applyFont="1"/>
    <xf numFmtId="0" fontId="20" fillId="27" borderId="0" xfId="0" applyFont="1" applyFill="1" applyAlignment="1">
      <alignment horizontal="center"/>
    </xf>
    <xf numFmtId="0" fontId="20" fillId="18" borderId="0" xfId="0" applyFont="1" applyFill="1" applyAlignment="1">
      <alignment horizontal="center"/>
    </xf>
    <xf numFmtId="0" fontId="20" fillId="0" borderId="0" xfId="0" applyFont="1" applyAlignment="1">
      <alignment horizontal="center"/>
    </xf>
    <xf numFmtId="0" fontId="20" fillId="19" borderId="0" xfId="0" applyFont="1" applyFill="1" applyAlignment="1">
      <alignment horizontal="center"/>
    </xf>
    <xf numFmtId="0" fontId="20" fillId="22" borderId="0" xfId="0" applyFont="1" applyFill="1" applyAlignment="1">
      <alignment horizontal="center"/>
    </xf>
    <xf numFmtId="0" fontId="20" fillId="23" borderId="0" xfId="0" applyFont="1" applyFill="1" applyAlignment="1">
      <alignment horizontal="center"/>
    </xf>
    <xf numFmtId="0" fontId="20" fillId="24" borderId="0" xfId="0" applyFont="1" applyFill="1" applyAlignment="1">
      <alignment horizontal="center"/>
    </xf>
    <xf numFmtId="0" fontId="20" fillId="16" borderId="0" xfId="0" applyFont="1" applyFill="1" applyAlignment="1">
      <alignment horizontal="center"/>
    </xf>
    <xf numFmtId="0" fontId="20" fillId="25" borderId="0" xfId="0" applyFont="1" applyFill="1" applyAlignment="1">
      <alignment horizontal="center"/>
    </xf>
    <xf numFmtId="0" fontId="20" fillId="26" borderId="0" xfId="0" applyFont="1" applyFill="1" applyAlignment="1">
      <alignment horizontal="center"/>
    </xf>
    <xf numFmtId="0" fontId="21" fillId="27" borderId="0" xfId="0" applyFont="1" applyFill="1" applyAlignment="1">
      <alignment horizontal="center"/>
    </xf>
    <xf numFmtId="0" fontId="22" fillId="27" borderId="0" xfId="0" applyFont="1" applyFill="1" applyAlignment="1">
      <alignment horizontal="center"/>
    </xf>
    <xf numFmtId="0" fontId="20" fillId="21" borderId="0" xfId="0" applyFont="1" applyFill="1" applyAlignment="1">
      <alignment horizontal="center"/>
    </xf>
    <xf numFmtId="0" fontId="21" fillId="26" borderId="0" xfId="0" applyFont="1" applyFill="1" applyAlignment="1">
      <alignment horizontal="center"/>
    </xf>
    <xf numFmtId="0" fontId="21" fillId="0" borderId="0" xfId="0" applyFont="1" applyAlignment="1">
      <alignment horizontal="center"/>
    </xf>
    <xf numFmtId="0" fontId="21" fillId="27" borderId="2" xfId="0" applyFont="1" applyFill="1" applyBorder="1" applyAlignment="1">
      <alignment horizontal="center"/>
    </xf>
    <xf numFmtId="0" fontId="20" fillId="27" borderId="0" xfId="0" applyFont="1" applyFill="1" applyBorder="1" applyAlignment="1">
      <alignment horizontal="center"/>
    </xf>
    <xf numFmtId="0" fontId="20" fillId="28" borderId="0" xfId="0" applyFont="1" applyFill="1" applyAlignment="1">
      <alignment horizontal="center"/>
    </xf>
    <xf numFmtId="49" fontId="0" fillId="0" borderId="0" xfId="0" applyNumberFormat="1"/>
    <xf numFmtId="0" fontId="24" fillId="0" borderId="0" xfId="0" applyFont="1" applyAlignment="1">
      <alignment horizontal="center"/>
    </xf>
    <xf numFmtId="49" fontId="24" fillId="0" borderId="0" xfId="0" applyNumberFormat="1" applyFont="1"/>
    <xf numFmtId="0" fontId="0" fillId="0" borderId="3" xfId="0" applyBorder="1" applyAlignment="1">
      <alignment horizontal="center"/>
    </xf>
    <xf numFmtId="0" fontId="0" fillId="0" borderId="3" xfId="0" applyBorder="1" applyAlignment="1">
      <alignment horizontal="center" wrapText="1"/>
    </xf>
    <xf numFmtId="49" fontId="0" fillId="0" borderId="0" xfId="0" applyNumberFormat="1" applyAlignment="1">
      <alignment horizontal="center"/>
    </xf>
    <xf numFmtId="169" fontId="0" fillId="0" borderId="0" xfId="0" applyNumberFormat="1" applyAlignment="1">
      <alignment horizontal="center"/>
    </xf>
    <xf numFmtId="2" fontId="0" fillId="0" borderId="0" xfId="0" applyNumberFormat="1" applyAlignment="1">
      <alignment horizontal="center"/>
    </xf>
    <xf numFmtId="2" fontId="0" fillId="29" borderId="0" xfId="0" applyNumberFormat="1" applyFill="1" applyAlignment="1">
      <alignment horizontal="center"/>
    </xf>
    <xf numFmtId="168" fontId="0" fillId="29" borderId="0" xfId="0" applyNumberFormat="1" applyFill="1" applyAlignment="1">
      <alignment horizontal="center"/>
    </xf>
    <xf numFmtId="169" fontId="0" fillId="30" borderId="0" xfId="0" applyNumberFormat="1" applyFill="1" applyAlignment="1">
      <alignment horizontal="center"/>
    </xf>
    <xf numFmtId="168" fontId="0" fillId="0" borderId="0" xfId="0" applyNumberFormat="1" applyAlignment="1">
      <alignment horizontal="center"/>
    </xf>
    <xf numFmtId="0" fontId="0" fillId="30" borderId="0" xfId="0" applyFill="1" applyAlignment="1">
      <alignment horizontal="center"/>
    </xf>
    <xf numFmtId="0" fontId="26" fillId="27" borderId="0" xfId="0" applyFont="1" applyFill="1" applyAlignment="1">
      <alignment horizontal="center" vertical="center"/>
    </xf>
    <xf numFmtId="0" fontId="26" fillId="27" borderId="4" xfId="0" applyFont="1" applyFill="1" applyBorder="1" applyAlignment="1">
      <alignment horizontal="center" vertical="center"/>
    </xf>
    <xf numFmtId="0" fontId="27" fillId="27" borderId="4" xfId="0" applyFont="1" applyFill="1" applyBorder="1" applyAlignment="1">
      <alignment horizontal="center" vertical="center"/>
    </xf>
    <xf numFmtId="0" fontId="27" fillId="27" borderId="5" xfId="0" applyFont="1" applyFill="1" applyBorder="1" applyAlignment="1">
      <alignment horizontal="center" vertical="center"/>
    </xf>
    <xf numFmtId="0" fontId="27" fillId="27" borderId="0" xfId="0" applyFont="1" applyFill="1" applyAlignment="1">
      <alignment horizontal="center" vertical="center"/>
    </xf>
    <xf numFmtId="0" fontId="27" fillId="27" borderId="6" xfId="0" applyFont="1" applyFill="1" applyBorder="1" applyAlignment="1">
      <alignment horizontal="center" vertical="center"/>
    </xf>
    <xf numFmtId="0" fontId="27" fillId="27" borderId="8" xfId="0" applyFont="1" applyFill="1" applyBorder="1" applyAlignment="1">
      <alignment horizontal="center" vertical="center"/>
    </xf>
    <xf numFmtId="0" fontId="27" fillId="27" borderId="7" xfId="0" applyFont="1" applyFill="1" applyBorder="1" applyAlignment="1">
      <alignment horizontal="center" vertical="center"/>
    </xf>
    <xf numFmtId="0" fontId="27" fillId="27" borderId="10" xfId="0" applyFont="1" applyFill="1" applyBorder="1" applyAlignment="1">
      <alignment horizontal="center" vertical="center"/>
    </xf>
    <xf numFmtId="0" fontId="27" fillId="27" borderId="9" xfId="0" applyFont="1" applyFill="1" applyBorder="1" applyAlignment="1">
      <alignment horizontal="center" vertical="center"/>
    </xf>
    <xf numFmtId="0" fontId="27" fillId="27" borderId="0" xfId="0" applyFont="1" applyFill="1" applyBorder="1" applyAlignment="1">
      <alignment horizontal="center" vertical="center"/>
    </xf>
    <xf numFmtId="0" fontId="25" fillId="27" borderId="0" xfId="0" applyFont="1" applyFill="1" applyAlignment="1">
      <alignment vertical="center"/>
    </xf>
    <xf numFmtId="0" fontId="27" fillId="27" borderId="11" xfId="0" applyFont="1" applyFill="1" applyBorder="1" applyAlignment="1">
      <alignment horizontal="center" vertical="center"/>
    </xf>
    <xf numFmtId="0" fontId="27" fillId="27" borderId="12" xfId="0" applyFont="1" applyFill="1" applyBorder="1" applyAlignment="1">
      <alignment horizontal="center" vertical="center"/>
    </xf>
    <xf numFmtId="0" fontId="27" fillId="31" borderId="0" xfId="0" applyFont="1" applyFill="1" applyAlignment="1">
      <alignment horizontal="center" vertical="center"/>
    </xf>
    <xf numFmtId="0" fontId="0" fillId="0" borderId="0" xfId="0" applyAlignment="1">
      <alignment horizontal="center"/>
    </xf>
    <xf numFmtId="0" fontId="28" fillId="31" borderId="0" xfId="0" applyFont="1" applyFill="1"/>
    <xf numFmtId="0" fontId="28" fillId="31" borderId="0" xfId="0" applyFont="1" applyFill="1" applyAlignment="1">
      <alignment horizontal="center"/>
    </xf>
    <xf numFmtId="0" fontId="29" fillId="32" borderId="0" xfId="0" applyFont="1" applyFill="1" applyAlignment="1">
      <alignment horizontal="center"/>
    </xf>
    <xf numFmtId="0" fontId="29" fillId="33" borderId="0" xfId="0" applyFont="1" applyFill="1" applyAlignment="1">
      <alignment horizontal="center"/>
    </xf>
    <xf numFmtId="0" fontId="28" fillId="31" borderId="0" xfId="0" applyFont="1" applyFill="1" applyAlignment="1">
      <alignment horizontal="left"/>
    </xf>
    <xf numFmtId="2" fontId="28" fillId="31" borderId="0" xfId="0" applyNumberFormat="1" applyFont="1" applyFill="1" applyAlignment="1">
      <alignment horizontal="center"/>
    </xf>
    <xf numFmtId="0" fontId="0" fillId="0" borderId="0" xfId="0" applyAlignment="1">
      <alignment horizontal="right" vertical="center"/>
    </xf>
    <xf numFmtId="0" fontId="0" fillId="0" borderId="0" xfId="0" applyFill="1" applyAlignment="1">
      <alignment horizontal="center"/>
    </xf>
    <xf numFmtId="0" fontId="0" fillId="34" borderId="0" xfId="0" applyFill="1" applyAlignment="1">
      <alignment horizontal="center"/>
    </xf>
    <xf numFmtId="0" fontId="0" fillId="0" borderId="0" xfId="0" applyAlignment="1">
      <alignment horizontal="center"/>
    </xf>
    <xf numFmtId="0" fontId="27" fillId="27" borderId="13" xfId="0" applyFont="1" applyFill="1" applyBorder="1" applyAlignment="1">
      <alignment horizontal="center" vertical="center"/>
    </xf>
    <xf numFmtId="0" fontId="27" fillId="27" borderId="14" xfId="0" applyFont="1" applyFill="1" applyBorder="1" applyAlignment="1">
      <alignment horizontal="center" vertical="center"/>
    </xf>
    <xf numFmtId="2" fontId="26" fillId="27" borderId="0" xfId="0" applyNumberFormat="1" applyFont="1" applyFill="1" applyAlignment="1">
      <alignment horizontal="center" vertical="center"/>
    </xf>
    <xf numFmtId="0" fontId="0" fillId="35" borderId="0" xfId="0" applyFill="1" applyAlignment="1">
      <alignment horizontal="center"/>
    </xf>
    <xf numFmtId="0" fontId="0" fillId="36" borderId="0" xfId="0" applyFill="1" applyAlignment="1">
      <alignment horizontal="center"/>
    </xf>
    <xf numFmtId="0" fontId="31" fillId="27" borderId="15" xfId="0" applyFont="1" applyFill="1" applyBorder="1" applyAlignment="1">
      <alignment horizontal="center"/>
    </xf>
    <xf numFmtId="0" fontId="31" fillId="27" borderId="16" xfId="0" applyFont="1" applyFill="1" applyBorder="1" applyAlignment="1">
      <alignment horizontal="center"/>
    </xf>
    <xf numFmtId="0" fontId="31" fillId="27" borderId="17" xfId="0" applyFont="1" applyFill="1" applyBorder="1" applyAlignment="1">
      <alignment horizontal="center"/>
    </xf>
    <xf numFmtId="0" fontId="31" fillId="27" borderId="18" xfId="0" applyFont="1" applyFill="1" applyBorder="1" applyAlignment="1">
      <alignment horizontal="center"/>
    </xf>
    <xf numFmtId="0" fontId="31" fillId="27" borderId="19" xfId="0" applyFont="1" applyFill="1" applyBorder="1" applyAlignment="1">
      <alignment horizontal="center"/>
    </xf>
    <xf numFmtId="0" fontId="31" fillId="27" borderId="20" xfId="0" applyFont="1" applyFill="1" applyBorder="1" applyAlignment="1">
      <alignment horizontal="center"/>
    </xf>
    <xf numFmtId="0" fontId="31" fillId="27" borderId="21" xfId="0" applyFont="1" applyFill="1" applyBorder="1" applyAlignment="1">
      <alignment horizontal="center"/>
    </xf>
    <xf numFmtId="0" fontId="31" fillId="27" borderId="22" xfId="0" applyFont="1" applyFill="1" applyBorder="1" applyAlignment="1">
      <alignment horizontal="center"/>
    </xf>
    <xf numFmtId="0" fontId="31" fillId="37" borderId="15" xfId="0" applyFont="1" applyFill="1" applyBorder="1" applyAlignment="1">
      <alignment horizontal="center"/>
    </xf>
    <xf numFmtId="1" fontId="31" fillId="27" borderId="15" xfId="0" applyNumberFormat="1" applyFont="1" applyFill="1" applyBorder="1" applyAlignment="1">
      <alignment horizontal="center"/>
    </xf>
    <xf numFmtId="1" fontId="31" fillId="37" borderId="15" xfId="0" applyNumberFormat="1" applyFont="1" applyFill="1" applyBorder="1" applyAlignment="1">
      <alignment horizontal="center"/>
    </xf>
    <xf numFmtId="0" fontId="31" fillId="27" borderId="23" xfId="0" applyFont="1" applyFill="1" applyBorder="1" applyAlignment="1">
      <alignment horizontal="center"/>
    </xf>
    <xf numFmtId="0" fontId="31" fillId="27" borderId="24" xfId="0" applyFont="1" applyFill="1" applyBorder="1" applyAlignment="1">
      <alignment horizontal="center"/>
    </xf>
    <xf numFmtId="0" fontId="31" fillId="27" borderId="25" xfId="0" applyFont="1" applyFill="1" applyBorder="1" applyAlignment="1">
      <alignment horizontal="center"/>
    </xf>
    <xf numFmtId="0" fontId="31" fillId="27" borderId="26" xfId="0" applyFont="1" applyFill="1" applyBorder="1" applyAlignment="1">
      <alignment horizontal="center"/>
    </xf>
    <xf numFmtId="0" fontId="31" fillId="27" borderId="27" xfId="0" applyFont="1" applyFill="1" applyBorder="1" applyAlignment="1">
      <alignment horizontal="center"/>
    </xf>
    <xf numFmtId="0" fontId="31" fillId="27" borderId="28" xfId="0" applyFont="1" applyFill="1" applyBorder="1" applyAlignment="1">
      <alignment horizontal="center"/>
    </xf>
    <xf numFmtId="0" fontId="31" fillId="27" borderId="29" xfId="0" applyFont="1" applyFill="1" applyBorder="1" applyAlignment="1">
      <alignment horizontal="center"/>
    </xf>
    <xf numFmtId="0" fontId="31" fillId="27" borderId="30" xfId="0" applyFont="1" applyFill="1" applyBorder="1" applyAlignment="1">
      <alignment horizontal="center"/>
    </xf>
    <xf numFmtId="0" fontId="31" fillId="27" borderId="31" xfId="0" applyFont="1" applyFill="1" applyBorder="1" applyAlignment="1">
      <alignment horizontal="center"/>
    </xf>
    <xf numFmtId="0" fontId="31" fillId="27" borderId="32" xfId="0" applyFont="1" applyFill="1" applyBorder="1" applyAlignment="1">
      <alignment horizontal="center"/>
    </xf>
    <xf numFmtId="0" fontId="28" fillId="31" borderId="0" xfId="0" applyFont="1" applyFill="1" applyAlignment="1">
      <alignment horizontal="right"/>
    </xf>
    <xf numFmtId="0" fontId="28" fillId="38" borderId="0" xfId="0" applyFont="1" applyFill="1" applyAlignment="1">
      <alignment horizontal="right"/>
    </xf>
    <xf numFmtId="0" fontId="33" fillId="32" borderId="0" xfId="0" applyFont="1" applyFill="1" applyAlignment="1">
      <alignment horizontal="center"/>
    </xf>
    <xf numFmtId="0" fontId="28" fillId="38" borderId="0" xfId="0" applyFont="1" applyFill="1"/>
    <xf numFmtId="0" fontId="28" fillId="31" borderId="33" xfId="0" applyFont="1" applyFill="1" applyBorder="1"/>
    <xf numFmtId="0" fontId="28" fillId="31" borderId="34" xfId="0" applyFont="1" applyFill="1" applyBorder="1" applyAlignment="1">
      <alignment horizontal="center"/>
    </xf>
    <xf numFmtId="0" fontId="28" fillId="31" borderId="35" xfId="0" applyFont="1" applyFill="1" applyBorder="1"/>
    <xf numFmtId="2" fontId="28" fillId="31" borderId="36" xfId="0" applyNumberFormat="1" applyFont="1" applyFill="1" applyBorder="1" applyAlignment="1">
      <alignment horizontal="center"/>
    </xf>
    <xf numFmtId="0" fontId="28" fillId="31" borderId="36" xfId="0" applyFont="1" applyFill="1" applyBorder="1"/>
    <xf numFmtId="0" fontId="28" fillId="31" borderId="37" xfId="0" applyFont="1" applyFill="1" applyBorder="1"/>
    <xf numFmtId="0" fontId="28" fillId="31" borderId="38" xfId="0" applyFont="1" applyFill="1" applyBorder="1"/>
    <xf numFmtId="0" fontId="33" fillId="33" borderId="0" xfId="0" applyFont="1" applyFill="1" applyAlignment="1">
      <alignment horizontal="center"/>
    </xf>
    <xf numFmtId="0" fontId="33" fillId="39" borderId="0" xfId="0" applyFont="1" applyFill="1"/>
    <xf numFmtId="0" fontId="33" fillId="40" borderId="0" xfId="0" applyFont="1" applyFill="1"/>
    <xf numFmtId="0" fontId="33" fillId="25" borderId="0" xfId="0" applyFont="1" applyFill="1"/>
    <xf numFmtId="0" fontId="32" fillId="27" borderId="0" xfId="0" applyFont="1" applyFill="1" applyAlignment="1">
      <alignment horizontal="left" vertical="center"/>
    </xf>
    <xf numFmtId="0" fontId="31" fillId="31" borderId="15" xfId="0" applyFont="1" applyFill="1" applyBorder="1" applyAlignment="1">
      <alignment horizontal="center"/>
    </xf>
    <xf numFmtId="0" fontId="26" fillId="26" borderId="15" xfId="0" applyFont="1" applyFill="1" applyBorder="1" applyAlignment="1">
      <alignment horizontal="center"/>
    </xf>
    <xf numFmtId="0" fontId="26" fillId="26" borderId="19" xfId="0" applyFont="1" applyFill="1" applyBorder="1" applyAlignment="1">
      <alignment horizontal="center"/>
    </xf>
    <xf numFmtId="0" fontId="26" fillId="26" borderId="18" xfId="0" applyFont="1" applyFill="1" applyBorder="1" applyAlignment="1">
      <alignment horizontal="center"/>
    </xf>
    <xf numFmtId="0" fontId="26" fillId="26" borderId="16" xfId="0" applyFont="1" applyFill="1" applyBorder="1" applyAlignment="1">
      <alignment horizontal="center"/>
    </xf>
    <xf numFmtId="0" fontId="26" fillId="26" borderId="17" xfId="0" applyFont="1" applyFill="1" applyBorder="1" applyAlignment="1">
      <alignment horizontal="center"/>
    </xf>
    <xf numFmtId="0" fontId="26" fillId="43" borderId="15" xfId="0" applyFont="1" applyFill="1" applyBorder="1" applyAlignment="1">
      <alignment horizontal="center"/>
    </xf>
    <xf numFmtId="0" fontId="26" fillId="31" borderId="15" xfId="0" applyFont="1" applyFill="1" applyBorder="1" applyAlignment="1">
      <alignment horizontal="center"/>
    </xf>
    <xf numFmtId="43" fontId="26" fillId="26" borderId="39" xfId="17" applyFont="1" applyFill="1" applyBorder="1" applyAlignment="1">
      <alignment horizontal="center"/>
    </xf>
    <xf numFmtId="43" fontId="26" fillId="26" borderId="15" xfId="17" applyFont="1" applyFill="1" applyBorder="1" applyAlignment="1">
      <alignment horizontal="center"/>
    </xf>
    <xf numFmtId="43" fontId="26" fillId="26" borderId="19" xfId="17" applyFont="1" applyFill="1" applyBorder="1" applyAlignment="1">
      <alignment horizontal="center"/>
    </xf>
    <xf numFmtId="43" fontId="26" fillId="26" borderId="18" xfId="17" applyFont="1" applyFill="1" applyBorder="1" applyAlignment="1">
      <alignment horizontal="center"/>
    </xf>
    <xf numFmtId="43" fontId="26" fillId="26" borderId="40" xfId="17" applyFont="1" applyFill="1" applyBorder="1" applyAlignment="1">
      <alignment horizontal="center"/>
    </xf>
    <xf numFmtId="43" fontId="26" fillId="26" borderId="41" xfId="17" applyFont="1" applyFill="1" applyBorder="1" applyAlignment="1">
      <alignment horizontal="center"/>
    </xf>
    <xf numFmtId="43" fontId="26" fillId="26" borderId="42" xfId="17" applyFont="1" applyFill="1" applyBorder="1" applyAlignment="1">
      <alignment horizontal="center"/>
    </xf>
    <xf numFmtId="175" fontId="26" fillId="25" borderId="15" xfId="17" applyNumberFormat="1" applyFont="1" applyFill="1" applyBorder="1" applyAlignment="1">
      <alignment horizontal="center"/>
    </xf>
    <xf numFmtId="175" fontId="26" fillId="31" borderId="15" xfId="17" applyNumberFormat="1" applyFont="1" applyFill="1" applyBorder="1" applyAlignment="1">
      <alignment horizontal="center"/>
    </xf>
    <xf numFmtId="175" fontId="26" fillId="26" borderId="15" xfId="17" applyNumberFormat="1" applyFont="1" applyFill="1" applyBorder="1" applyAlignment="1">
      <alignment horizontal="center"/>
    </xf>
    <xf numFmtId="175" fontId="26" fillId="41" borderId="15" xfId="17" applyNumberFormat="1" applyFont="1" applyFill="1" applyBorder="1" applyAlignment="1">
      <alignment horizontal="center"/>
    </xf>
    <xf numFmtId="175" fontId="26" fillId="42" borderId="15" xfId="17" applyNumberFormat="1" applyFont="1" applyFill="1" applyBorder="1" applyAlignment="1">
      <alignment horizontal="center"/>
    </xf>
    <xf numFmtId="175" fontId="26" fillId="43" borderId="15" xfId="17" applyNumberFormat="1" applyFont="1" applyFill="1" applyBorder="1" applyAlignment="1">
      <alignment horizontal="center"/>
    </xf>
    <xf numFmtId="175" fontId="26" fillId="31" borderId="15" xfId="0" applyNumberFormat="1" applyFont="1" applyFill="1" applyBorder="1" applyAlignment="1">
      <alignment horizontal="center"/>
    </xf>
    <xf numFmtId="43" fontId="26" fillId="25" borderId="15" xfId="0" applyNumberFormat="1" applyFont="1" applyFill="1" applyBorder="1" applyAlignment="1">
      <alignment horizontal="center"/>
    </xf>
    <xf numFmtId="43" fontId="26" fillId="41" borderId="15" xfId="0" applyNumberFormat="1" applyFont="1" applyFill="1" applyBorder="1" applyAlignment="1">
      <alignment horizontal="center"/>
    </xf>
    <xf numFmtId="43" fontId="26" fillId="42" borderId="15" xfId="0" applyNumberFormat="1" applyFont="1" applyFill="1" applyBorder="1" applyAlignment="1">
      <alignment horizontal="center"/>
    </xf>
    <xf numFmtId="0" fontId="26" fillId="44" borderId="15" xfId="0" applyFont="1" applyFill="1" applyBorder="1" applyAlignment="1">
      <alignment horizontal="center"/>
    </xf>
    <xf numFmtId="0" fontId="26" fillId="45" borderId="15" xfId="0" applyFont="1" applyFill="1" applyBorder="1" applyAlignment="1">
      <alignment horizontal="center"/>
    </xf>
    <xf numFmtId="49" fontId="26" fillId="26" borderId="15" xfId="0" applyNumberFormat="1" applyFont="1" applyFill="1" applyBorder="1" applyAlignment="1">
      <alignment horizontal="center"/>
    </xf>
    <xf numFmtId="0" fontId="26" fillId="46" borderId="15" xfId="0" applyFont="1" applyFill="1" applyBorder="1" applyAlignment="1">
      <alignment horizontal="center"/>
    </xf>
    <xf numFmtId="0" fontId="26" fillId="37" borderId="15" xfId="0" applyFont="1" applyFill="1" applyBorder="1" applyAlignment="1">
      <alignment horizontal="center"/>
    </xf>
    <xf numFmtId="0" fontId="26" fillId="47" borderId="15" xfId="0" applyFont="1" applyFill="1" applyBorder="1" applyAlignment="1">
      <alignment horizontal="center"/>
    </xf>
    <xf numFmtId="43" fontId="26" fillId="31" borderId="15" xfId="0" applyNumberFormat="1" applyFont="1" applyFill="1" applyBorder="1" applyAlignment="1">
      <alignment horizontal="center"/>
    </xf>
    <xf numFmtId="43" fontId="26" fillId="46" borderId="15" xfId="17" applyFont="1" applyFill="1" applyBorder="1" applyAlignment="1">
      <alignment horizontal="center"/>
    </xf>
    <xf numFmtId="0" fontId="26" fillId="26" borderId="43" xfId="0" applyFont="1" applyFill="1" applyBorder="1" applyAlignment="1">
      <alignment horizontal="center"/>
    </xf>
    <xf numFmtId="0" fontId="26" fillId="26" borderId="44" xfId="0" applyFont="1" applyFill="1" applyBorder="1" applyAlignment="1">
      <alignment horizontal="center"/>
    </xf>
    <xf numFmtId="0" fontId="26" fillId="26" borderId="45" xfId="0" applyFont="1" applyFill="1" applyBorder="1" applyAlignment="1">
      <alignment horizontal="center"/>
    </xf>
    <xf numFmtId="0" fontId="26" fillId="48" borderId="15" xfId="0" applyFont="1" applyFill="1" applyBorder="1" applyAlignment="1">
      <alignment horizontal="center"/>
    </xf>
    <xf numFmtId="0" fontId="26" fillId="26" borderId="16" xfId="0" applyFont="1" applyFill="1" applyBorder="1" applyAlignment="1">
      <alignment horizontal="center"/>
    </xf>
    <xf numFmtId="0" fontId="26" fillId="26" borderId="46" xfId="0" applyFont="1" applyFill="1" applyBorder="1" applyAlignment="1">
      <alignment horizontal="center"/>
    </xf>
    <xf numFmtId="0" fontId="26" fillId="26" borderId="17" xfId="0" applyFont="1" applyFill="1" applyBorder="1" applyAlignment="1">
      <alignment horizontal="center"/>
    </xf>
    <xf numFmtId="172" fontId="26" fillId="44" borderId="15" xfId="0" applyNumberFormat="1" applyFont="1" applyFill="1" applyBorder="1" applyAlignment="1">
      <alignment horizontal="center"/>
    </xf>
    <xf numFmtId="43" fontId="34" fillId="26" borderId="15" xfId="17" applyFont="1" applyFill="1" applyBorder="1" applyAlignment="1">
      <alignment horizontal="center"/>
    </xf>
    <xf numFmtId="0" fontId="34" fillId="26" borderId="18" xfId="0" applyFont="1" applyFill="1" applyBorder="1" applyAlignment="1">
      <alignment horizontal="center"/>
    </xf>
    <xf numFmtId="0" fontId="26" fillId="49" borderId="15" xfId="0" applyFont="1" applyFill="1" applyBorder="1" applyAlignment="1">
      <alignment horizontal="center"/>
    </xf>
    <xf numFmtId="0" fontId="26" fillId="50" borderId="15" xfId="0" applyFont="1" applyFill="1" applyBorder="1" applyAlignment="1">
      <alignment horizontal="center"/>
    </xf>
    <xf numFmtId="0" fontId="35" fillId="51" borderId="15" xfId="0" applyFont="1" applyFill="1" applyBorder="1" applyAlignment="1">
      <alignment horizontal="center"/>
    </xf>
    <xf numFmtId="0" fontId="26" fillId="54" borderId="15" xfId="0" applyFont="1" applyFill="1" applyBorder="1" applyAlignment="1">
      <alignment horizontal="center"/>
    </xf>
    <xf numFmtId="2" fontId="26" fillId="53" borderId="15" xfId="0" applyNumberFormat="1" applyFont="1" applyFill="1" applyBorder="1" applyAlignment="1">
      <alignment horizontal="center"/>
    </xf>
    <xf numFmtId="2" fontId="26" fillId="52" borderId="15" xfId="0" applyNumberFormat="1" applyFont="1" applyFill="1" applyBorder="1" applyAlignment="1">
      <alignment horizontal="center"/>
    </xf>
    <xf numFmtId="0" fontId="26" fillId="26" borderId="15" xfId="0" applyFont="1" applyFill="1" applyBorder="1" applyAlignment="1">
      <alignment horizontal="right"/>
    </xf>
    <xf numFmtId="43" fontId="26" fillId="26" borderId="15" xfId="17" applyFont="1" applyFill="1" applyBorder="1" applyAlignment="1">
      <alignment horizontal="right"/>
    </xf>
    <xf numFmtId="43" fontId="26" fillId="26" borderId="15" xfId="17" applyFont="1" applyFill="1" applyBorder="1" applyAlignment="1">
      <alignment horizontal="left"/>
    </xf>
    <xf numFmtId="0" fontId="36" fillId="26" borderId="15" xfId="0" applyFont="1" applyFill="1" applyBorder="1" applyAlignment="1">
      <alignment horizontal="center"/>
    </xf>
    <xf numFmtId="43" fontId="26" fillId="26" borderId="51" xfId="17" applyFont="1" applyFill="1" applyBorder="1" applyAlignment="1">
      <alignment horizontal="center"/>
    </xf>
    <xf numFmtId="0" fontId="26" fillId="26" borderId="52" xfId="0" applyFont="1" applyFill="1" applyBorder="1" applyAlignment="1">
      <alignment horizontal="center"/>
    </xf>
    <xf numFmtId="0" fontId="26" fillId="26" borderId="53" xfId="0" applyFont="1" applyFill="1" applyBorder="1" applyAlignment="1">
      <alignment horizontal="center"/>
    </xf>
    <xf numFmtId="0" fontId="37" fillId="51" borderId="15" xfId="0" applyFont="1" applyFill="1" applyBorder="1" applyAlignment="1">
      <alignment horizontal="center"/>
    </xf>
    <xf numFmtId="0" fontId="34" fillId="26" borderId="53" xfId="0" applyFont="1" applyFill="1" applyBorder="1" applyAlignment="1">
      <alignment horizontal="center"/>
    </xf>
    <xf numFmtId="43" fontId="26" fillId="26" borderId="54" xfId="17" applyFont="1" applyFill="1" applyBorder="1" applyAlignment="1">
      <alignment horizontal="center"/>
    </xf>
    <xf numFmtId="0" fontId="26" fillId="26" borderId="54" xfId="0" applyFont="1" applyFill="1" applyBorder="1" applyAlignment="1">
      <alignment horizontal="center"/>
    </xf>
    <xf numFmtId="0" fontId="26" fillId="58" borderId="15" xfId="0" applyFont="1" applyFill="1" applyBorder="1" applyAlignment="1">
      <alignment horizontal="center"/>
    </xf>
    <xf numFmtId="0" fontId="26" fillId="26" borderId="55" xfId="0" applyFont="1" applyFill="1" applyBorder="1" applyAlignment="1">
      <alignment horizontal="center"/>
    </xf>
    <xf numFmtId="0" fontId="37" fillId="57" borderId="15" xfId="0" applyFont="1" applyFill="1" applyBorder="1" applyAlignment="1">
      <alignment horizontal="center"/>
    </xf>
    <xf numFmtId="0" fontId="37" fillId="56" borderId="15" xfId="0" applyFont="1" applyFill="1" applyBorder="1" applyAlignment="1">
      <alignment horizontal="center"/>
    </xf>
    <xf numFmtId="49" fontId="26" fillId="26" borderId="39" xfId="0" applyNumberFormat="1" applyFont="1" applyFill="1" applyBorder="1" applyAlignment="1">
      <alignment horizontal="center"/>
    </xf>
    <xf numFmtId="49" fontId="34" fillId="26" borderId="39" xfId="0" applyNumberFormat="1" applyFont="1" applyFill="1" applyBorder="1" applyAlignment="1">
      <alignment horizontal="center"/>
    </xf>
    <xf numFmtId="0" fontId="37" fillId="55" borderId="15" xfId="0" applyFont="1" applyFill="1" applyBorder="1" applyAlignment="1">
      <alignment horizontal="center"/>
    </xf>
    <xf numFmtId="0" fontId="26" fillId="26" borderId="56" xfId="0" applyFont="1" applyFill="1" applyBorder="1" applyAlignment="1">
      <alignment horizontal="center"/>
    </xf>
    <xf numFmtId="0" fontId="26" fillId="26" borderId="57" xfId="0" applyFont="1" applyFill="1" applyBorder="1" applyAlignment="1">
      <alignment horizontal="center"/>
    </xf>
    <xf numFmtId="0" fontId="26" fillId="26" borderId="58" xfId="0" applyFont="1" applyFill="1" applyBorder="1" applyAlignment="1">
      <alignment horizontal="center"/>
    </xf>
    <xf numFmtId="0" fontId="26" fillId="26" borderId="59" xfId="0" applyFont="1" applyFill="1" applyBorder="1" applyAlignment="1">
      <alignment horizontal="center"/>
    </xf>
    <xf numFmtId="0" fontId="26" fillId="26" borderId="60" xfId="0" applyFont="1" applyFill="1" applyBorder="1" applyAlignment="1">
      <alignment horizontal="center"/>
    </xf>
    <xf numFmtId="0" fontId="26" fillId="26" borderId="61" xfId="0" applyFont="1" applyFill="1" applyBorder="1" applyAlignment="1">
      <alignment horizontal="center"/>
    </xf>
    <xf numFmtId="0" fontId="26" fillId="26" borderId="62" xfId="0" applyFont="1" applyFill="1" applyBorder="1" applyAlignment="1">
      <alignment horizontal="center"/>
    </xf>
    <xf numFmtId="0" fontId="28" fillId="26" borderId="0" xfId="0" applyFont="1" applyFill="1" applyAlignment="1">
      <alignment horizontal="center"/>
    </xf>
    <xf numFmtId="0" fontId="28" fillId="26" borderId="67" xfId="0" applyFont="1" applyFill="1" applyBorder="1" applyAlignment="1">
      <alignment horizontal="center"/>
    </xf>
    <xf numFmtId="0" fontId="28" fillId="26" borderId="68" xfId="0" applyFont="1" applyFill="1" applyBorder="1" applyAlignment="1">
      <alignment horizontal="center"/>
    </xf>
    <xf numFmtId="0" fontId="28" fillId="26" borderId="69" xfId="0" applyFont="1" applyFill="1" applyBorder="1" applyAlignment="1">
      <alignment horizontal="center"/>
    </xf>
    <xf numFmtId="0" fontId="28" fillId="47" borderId="0" xfId="0" applyFont="1" applyFill="1" applyAlignment="1">
      <alignment horizontal="center"/>
    </xf>
    <xf numFmtId="0" fontId="28" fillId="38" borderId="0" xfId="0" applyFont="1" applyFill="1" applyAlignment="1">
      <alignment horizontal="center"/>
    </xf>
    <xf numFmtId="0" fontId="28" fillId="37" borderId="0" xfId="0" applyFont="1" applyFill="1" applyAlignment="1">
      <alignment horizontal="center"/>
    </xf>
    <xf numFmtId="0" fontId="38" fillId="55" borderId="0" xfId="0" applyFont="1" applyFill="1" applyAlignment="1">
      <alignment horizontal="center"/>
    </xf>
    <xf numFmtId="0" fontId="38" fillId="50" borderId="0" xfId="0" applyFont="1" applyFill="1" applyAlignment="1">
      <alignment horizontal="center"/>
    </xf>
    <xf numFmtId="0" fontId="38" fillId="33" borderId="0" xfId="0" applyFont="1" applyFill="1" applyAlignment="1">
      <alignment horizontal="center"/>
    </xf>
    <xf numFmtId="0" fontId="38" fillId="57" borderId="0" xfId="0" applyFont="1" applyFill="1" applyAlignment="1">
      <alignment horizontal="center"/>
    </xf>
    <xf numFmtId="0" fontId="38" fillId="58" borderId="0" xfId="0" applyFont="1" applyFill="1" applyAlignment="1">
      <alignment horizontal="center"/>
    </xf>
    <xf numFmtId="0" fontId="38" fillId="28" borderId="0" xfId="0" applyFont="1" applyFill="1" applyAlignment="1">
      <alignment horizontal="center"/>
    </xf>
    <xf numFmtId="0" fontId="38" fillId="59" borderId="0" xfId="0" applyFont="1" applyFill="1" applyAlignment="1">
      <alignment horizontal="center"/>
    </xf>
    <xf numFmtId="0" fontId="38" fillId="60" borderId="0" xfId="0" applyFont="1" applyFill="1" applyAlignment="1">
      <alignment horizontal="center"/>
    </xf>
    <xf numFmtId="0" fontId="38" fillId="61" borderId="0" xfId="0" applyFont="1" applyFill="1" applyAlignment="1">
      <alignment horizontal="center"/>
    </xf>
    <xf numFmtId="0" fontId="38" fillId="62" borderId="0" xfId="0" applyFont="1" applyFill="1" applyAlignment="1">
      <alignment horizontal="center"/>
    </xf>
    <xf numFmtId="0" fontId="38" fillId="63" borderId="0" xfId="0" applyFont="1" applyFill="1" applyAlignment="1">
      <alignment horizontal="center"/>
    </xf>
    <xf numFmtId="0" fontId="38" fillId="25" borderId="0" xfId="0" applyFont="1" applyFill="1" applyAlignment="1">
      <alignment horizontal="center"/>
    </xf>
    <xf numFmtId="0" fontId="38" fillId="64" borderId="0" xfId="0" applyFont="1" applyFill="1" applyAlignment="1">
      <alignment horizontal="center"/>
    </xf>
    <xf numFmtId="0" fontId="38" fillId="16" borderId="0" xfId="0" applyFont="1" applyFill="1" applyAlignment="1">
      <alignment horizontal="center"/>
    </xf>
    <xf numFmtId="0" fontId="38" fillId="65" borderId="0" xfId="0" applyFont="1" applyFill="1" applyAlignment="1">
      <alignment horizontal="center"/>
    </xf>
    <xf numFmtId="0" fontId="38" fillId="66" borderId="0" xfId="0" applyFont="1" applyFill="1" applyAlignment="1">
      <alignment horizontal="center"/>
    </xf>
    <xf numFmtId="0" fontId="38" fillId="67" borderId="0" xfId="0" applyFont="1" applyFill="1" applyAlignment="1">
      <alignment horizontal="center"/>
    </xf>
    <xf numFmtId="0" fontId="38" fillId="68" borderId="0" xfId="0" applyFont="1" applyFill="1" applyAlignment="1">
      <alignment horizontal="center"/>
    </xf>
    <xf numFmtId="0" fontId="38" fillId="69" borderId="0" xfId="0" applyFont="1" applyFill="1" applyAlignment="1">
      <alignment horizontal="center"/>
    </xf>
    <xf numFmtId="0" fontId="38" fillId="70" borderId="0" xfId="0" applyFont="1" applyFill="1" applyAlignment="1">
      <alignment horizontal="center"/>
    </xf>
    <xf numFmtId="0" fontId="26" fillId="26" borderId="0" xfId="0" applyFont="1" applyFill="1" applyBorder="1" applyAlignment="1">
      <alignment horizontal="center"/>
    </xf>
    <xf numFmtId="0" fontId="39" fillId="26" borderId="70" xfId="0" applyFont="1" applyFill="1" applyBorder="1" applyAlignment="1">
      <alignment horizontal="center" vertical="center"/>
    </xf>
    <xf numFmtId="0" fontId="28" fillId="26" borderId="0" xfId="0" applyFont="1" applyFill="1" applyBorder="1" applyAlignment="1">
      <alignment horizontal="center"/>
    </xf>
    <xf numFmtId="0" fontId="38" fillId="26" borderId="0" xfId="0" applyFont="1" applyFill="1" applyBorder="1" applyAlignment="1">
      <alignment horizontal="center"/>
    </xf>
    <xf numFmtId="0" fontId="39" fillId="26" borderId="0" xfId="0" applyFont="1" applyFill="1" applyBorder="1" applyAlignment="1">
      <alignment horizontal="center" vertical="center"/>
    </xf>
    <xf numFmtId="0" fontId="39" fillId="26" borderId="0" xfId="0" applyFont="1" applyFill="1" applyBorder="1" applyAlignment="1">
      <alignment vertical="center"/>
    </xf>
    <xf numFmtId="0" fontId="41" fillId="26" borderId="0" xfId="0" applyFont="1" applyFill="1" applyAlignment="1">
      <alignment horizontal="center"/>
    </xf>
    <xf numFmtId="0" fontId="41" fillId="26" borderId="0" xfId="0" applyFont="1" applyFill="1"/>
    <xf numFmtId="167" fontId="41" fillId="26" borderId="0" xfId="0" applyNumberFormat="1" applyFont="1" applyFill="1" applyAlignment="1">
      <alignment horizontal="center"/>
    </xf>
    <xf numFmtId="1" fontId="41" fillId="26" borderId="0" xfId="0" applyNumberFormat="1" applyFont="1" applyFill="1" applyBorder="1" applyAlignment="1">
      <alignment horizontal="center"/>
    </xf>
    <xf numFmtId="0" fontId="41" fillId="26" borderId="0" xfId="0" applyFont="1" applyFill="1" applyBorder="1" applyAlignment="1">
      <alignment horizontal="center"/>
    </xf>
    <xf numFmtId="172" fontId="41" fillId="26" borderId="0" xfId="0" applyNumberFormat="1" applyFont="1" applyFill="1" applyBorder="1" applyAlignment="1">
      <alignment horizontal="center"/>
    </xf>
    <xf numFmtId="170" fontId="41" fillId="26" borderId="0" xfId="0" applyNumberFormat="1" applyFont="1" applyFill="1" applyBorder="1" applyAlignment="1">
      <alignment horizontal="center"/>
    </xf>
    <xf numFmtId="171" fontId="41" fillId="26" borderId="0" xfId="0" applyNumberFormat="1" applyFont="1" applyFill="1" applyBorder="1" applyAlignment="1">
      <alignment horizontal="center"/>
    </xf>
    <xf numFmtId="168" fontId="41" fillId="26" borderId="0" xfId="0" applyNumberFormat="1" applyFont="1" applyFill="1" applyBorder="1" applyAlignment="1">
      <alignment horizontal="center"/>
    </xf>
    <xf numFmtId="173" fontId="41" fillId="26" borderId="0" xfId="0" applyNumberFormat="1" applyFont="1" applyFill="1" applyBorder="1" applyAlignment="1">
      <alignment horizontal="center"/>
    </xf>
    <xf numFmtId="174" fontId="41" fillId="26" borderId="0" xfId="0" applyNumberFormat="1" applyFont="1" applyFill="1" applyBorder="1" applyAlignment="1">
      <alignment horizontal="center"/>
    </xf>
    <xf numFmtId="164" fontId="41" fillId="26" borderId="0" xfId="0" applyNumberFormat="1" applyFont="1" applyFill="1" applyBorder="1" applyAlignment="1">
      <alignment horizontal="center"/>
    </xf>
    <xf numFmtId="165" fontId="41" fillId="26" borderId="0" xfId="0" applyNumberFormat="1" applyFont="1" applyFill="1" applyBorder="1" applyAlignment="1">
      <alignment horizontal="center"/>
    </xf>
    <xf numFmtId="2" fontId="41" fillId="26" borderId="0" xfId="0" applyNumberFormat="1" applyFont="1" applyFill="1" applyBorder="1" applyAlignment="1">
      <alignment horizontal="center"/>
    </xf>
    <xf numFmtId="166" fontId="41" fillId="26" borderId="0" xfId="0" applyNumberFormat="1" applyFont="1" applyFill="1" applyBorder="1" applyAlignment="1">
      <alignment horizontal="center"/>
    </xf>
    <xf numFmtId="0" fontId="40" fillId="26" borderId="71" xfId="0" applyFont="1" applyFill="1" applyBorder="1" applyAlignment="1">
      <alignment horizontal="center"/>
    </xf>
    <xf numFmtId="0" fontId="40" fillId="26" borderId="72" xfId="0" applyFont="1" applyFill="1" applyBorder="1" applyAlignment="1">
      <alignment horizontal="center"/>
    </xf>
    <xf numFmtId="0" fontId="40" fillId="26" borderId="73" xfId="0" applyFont="1" applyFill="1" applyBorder="1" applyAlignment="1">
      <alignment horizontal="center"/>
    </xf>
    <xf numFmtId="0" fontId="41" fillId="26" borderId="74" xfId="0" applyFont="1" applyFill="1" applyBorder="1" applyAlignment="1">
      <alignment horizontal="center"/>
    </xf>
    <xf numFmtId="1" fontId="41" fillId="26" borderId="75" xfId="0" applyNumberFormat="1" applyFont="1" applyFill="1" applyBorder="1" applyAlignment="1">
      <alignment horizontal="center"/>
    </xf>
    <xf numFmtId="0" fontId="41" fillId="26" borderId="75" xfId="0" applyFont="1" applyFill="1" applyBorder="1" applyAlignment="1">
      <alignment horizontal="center"/>
    </xf>
    <xf numFmtId="1" fontId="41" fillId="26" borderId="76" xfId="0" applyNumberFormat="1" applyFont="1" applyFill="1" applyBorder="1" applyAlignment="1">
      <alignment horizontal="center"/>
    </xf>
    <xf numFmtId="11" fontId="41" fillId="26" borderId="77" xfId="0" applyNumberFormat="1" applyFont="1" applyFill="1" applyBorder="1" applyAlignment="1">
      <alignment horizontal="center"/>
    </xf>
    <xf numFmtId="1" fontId="41" fillId="26" borderId="78" xfId="0" applyNumberFormat="1" applyFont="1" applyFill="1" applyBorder="1" applyAlignment="1">
      <alignment horizontal="center"/>
    </xf>
    <xf numFmtId="11" fontId="41" fillId="26" borderId="79" xfId="0" applyNumberFormat="1" applyFont="1" applyFill="1" applyBorder="1" applyAlignment="1">
      <alignment horizontal="center"/>
    </xf>
    <xf numFmtId="167" fontId="41" fillId="26" borderId="80" xfId="0" applyNumberFormat="1" applyFont="1" applyFill="1" applyBorder="1" applyAlignment="1">
      <alignment horizontal="center"/>
    </xf>
    <xf numFmtId="171" fontId="41" fillId="26" borderId="80" xfId="0" applyNumberFormat="1" applyFont="1" applyFill="1" applyBorder="1" applyAlignment="1">
      <alignment horizontal="center"/>
    </xf>
    <xf numFmtId="169" fontId="41" fillId="26" borderId="80" xfId="0" applyNumberFormat="1" applyFont="1" applyFill="1" applyBorder="1" applyAlignment="1">
      <alignment horizontal="center"/>
    </xf>
    <xf numFmtId="1" fontId="41" fillId="26" borderId="81" xfId="0" applyNumberFormat="1" applyFont="1" applyFill="1" applyBorder="1" applyAlignment="1">
      <alignment horizontal="center"/>
    </xf>
    <xf numFmtId="178" fontId="38" fillId="33" borderId="0" xfId="17" applyNumberFormat="1" applyFont="1" applyFill="1" applyAlignment="1">
      <alignment horizontal="center"/>
    </xf>
    <xf numFmtId="43" fontId="38" fillId="57" borderId="0" xfId="0" applyNumberFormat="1" applyFont="1" applyFill="1" applyAlignment="1">
      <alignment horizontal="center"/>
    </xf>
    <xf numFmtId="176" fontId="38" fillId="55" borderId="0" xfId="0" applyNumberFormat="1" applyFont="1" applyFill="1" applyAlignment="1">
      <alignment horizontal="center"/>
    </xf>
    <xf numFmtId="176" fontId="28" fillId="37" borderId="0" xfId="0" applyNumberFormat="1" applyFont="1" applyFill="1" applyAlignment="1">
      <alignment horizontal="center"/>
    </xf>
    <xf numFmtId="43" fontId="28" fillId="37" borderId="0" xfId="0" applyNumberFormat="1" applyFont="1" applyFill="1" applyAlignment="1">
      <alignment horizontal="center"/>
    </xf>
    <xf numFmtId="177" fontId="38" fillId="33" borderId="0" xfId="0" applyNumberFormat="1" applyFont="1" applyFill="1" applyAlignment="1">
      <alignment horizontal="center"/>
    </xf>
    <xf numFmtId="166" fontId="38" fillId="59" borderId="0" xfId="0" applyNumberFormat="1" applyFont="1" applyFill="1" applyAlignment="1">
      <alignment horizontal="center"/>
    </xf>
    <xf numFmtId="0" fontId="38" fillId="75" borderId="0" xfId="0" applyFont="1" applyFill="1" applyAlignment="1">
      <alignment horizontal="center"/>
    </xf>
    <xf numFmtId="2" fontId="38" fillId="62" borderId="0" xfId="0" applyNumberFormat="1" applyFont="1" applyFill="1" applyAlignment="1">
      <alignment horizontal="center"/>
    </xf>
    <xf numFmtId="0" fontId="28" fillId="26" borderId="71" xfId="0" applyFont="1" applyFill="1" applyBorder="1" applyAlignment="1">
      <alignment horizontal="center"/>
    </xf>
    <xf numFmtId="0" fontId="28" fillId="26" borderId="72" xfId="0" applyFont="1" applyFill="1" applyBorder="1" applyAlignment="1">
      <alignment horizontal="center"/>
    </xf>
    <xf numFmtId="0" fontId="28" fillId="26" borderId="73" xfId="0" applyFont="1" applyFill="1" applyBorder="1" applyAlignment="1">
      <alignment horizontal="center"/>
    </xf>
    <xf numFmtId="0" fontId="38" fillId="76" borderId="0" xfId="0" applyFont="1" applyFill="1" applyAlignment="1">
      <alignment horizontal="center"/>
    </xf>
    <xf numFmtId="0" fontId="38" fillId="77" borderId="0" xfId="0" applyFont="1" applyFill="1" applyAlignment="1">
      <alignment horizontal="center"/>
    </xf>
    <xf numFmtId="0" fontId="38" fillId="78" borderId="0" xfId="0" applyFont="1" applyFill="1" applyAlignment="1">
      <alignment horizontal="center"/>
    </xf>
    <xf numFmtId="172" fontId="38" fillId="75" borderId="0" xfId="0" applyNumberFormat="1" applyFont="1" applyFill="1" applyAlignment="1">
      <alignment horizontal="center"/>
    </xf>
    <xf numFmtId="0" fontId="38" fillId="72" borderId="0" xfId="0" applyFont="1" applyFill="1" applyAlignment="1">
      <alignment horizontal="center"/>
    </xf>
    <xf numFmtId="164" fontId="38" fillId="66" borderId="0" xfId="0" applyNumberFormat="1" applyFont="1" applyFill="1" applyAlignment="1">
      <alignment horizontal="center"/>
    </xf>
    <xf numFmtId="170" fontId="38" fillId="72" borderId="0" xfId="0" applyNumberFormat="1" applyFont="1" applyFill="1" applyAlignment="1">
      <alignment horizontal="center"/>
    </xf>
    <xf numFmtId="170" fontId="38" fillId="68" borderId="0" xfId="0" applyNumberFormat="1" applyFont="1" applyFill="1" applyAlignment="1">
      <alignment horizontal="center"/>
    </xf>
    <xf numFmtId="168" fontId="38" fillId="78" borderId="0" xfId="0" applyNumberFormat="1" applyFont="1" applyFill="1" applyAlignment="1">
      <alignment horizontal="center"/>
    </xf>
    <xf numFmtId="168" fontId="38" fillId="77" borderId="0" xfId="0" applyNumberFormat="1" applyFont="1" applyFill="1" applyAlignment="1">
      <alignment horizontal="center"/>
    </xf>
    <xf numFmtId="169" fontId="38" fillId="74" borderId="0" xfId="0" applyNumberFormat="1" applyFont="1" applyFill="1" applyAlignment="1">
      <alignment horizontal="center"/>
    </xf>
    <xf numFmtId="2" fontId="38" fillId="73" borderId="0" xfId="0" applyNumberFormat="1" applyFont="1" applyFill="1" applyAlignment="1">
      <alignment horizontal="center"/>
    </xf>
    <xf numFmtId="2" fontId="28" fillId="26" borderId="0" xfId="0" applyNumberFormat="1" applyFont="1" applyFill="1" applyAlignment="1">
      <alignment horizontal="center"/>
    </xf>
    <xf numFmtId="2" fontId="38" fillId="16" borderId="0" xfId="0" applyNumberFormat="1" applyFont="1" applyFill="1" applyAlignment="1">
      <alignment horizontal="center"/>
    </xf>
    <xf numFmtId="1" fontId="38" fillId="71" borderId="0" xfId="0" applyNumberFormat="1" applyFont="1" applyFill="1" applyAlignment="1">
      <alignment horizontal="center"/>
    </xf>
    <xf numFmtId="1" fontId="28" fillId="26" borderId="0" xfId="0" applyNumberFormat="1" applyFont="1" applyFill="1" applyAlignment="1">
      <alignment horizontal="center"/>
    </xf>
    <xf numFmtId="1" fontId="38" fillId="79" borderId="0" xfId="0" applyNumberFormat="1" applyFont="1" applyFill="1" applyAlignment="1">
      <alignment horizontal="center"/>
    </xf>
    <xf numFmtId="43" fontId="38" fillId="58" borderId="0" xfId="0" applyNumberFormat="1" applyFont="1" applyFill="1" applyAlignment="1">
      <alignment horizontal="center"/>
    </xf>
    <xf numFmtId="0" fontId="38" fillId="26" borderId="0" xfId="0" applyFont="1" applyFill="1" applyAlignment="1">
      <alignment horizontal="center"/>
    </xf>
    <xf numFmtId="176" fontId="28" fillId="26" borderId="0" xfId="0" applyNumberFormat="1" applyFont="1" applyFill="1" applyAlignment="1">
      <alignment horizontal="center"/>
    </xf>
    <xf numFmtId="0" fontId="43" fillId="80" borderId="0" xfId="0" applyFont="1" applyFill="1" applyBorder="1" applyAlignment="1">
      <alignment horizontal="center"/>
    </xf>
    <xf numFmtId="0" fontId="43" fillId="26" borderId="0" xfId="0" applyFont="1" applyFill="1" applyBorder="1" applyAlignment="1">
      <alignment horizontal="center"/>
    </xf>
    <xf numFmtId="0" fontId="28" fillId="26" borderId="82" xfId="0" applyFont="1" applyFill="1" applyBorder="1" applyAlignment="1">
      <alignment horizontal="center"/>
    </xf>
    <xf numFmtId="0" fontId="28" fillId="31" borderId="0" xfId="0" applyFont="1" applyFill="1" applyBorder="1" applyAlignment="1">
      <alignment horizontal="center"/>
    </xf>
    <xf numFmtId="0" fontId="44" fillId="26" borderId="0" xfId="0" applyFont="1" applyFill="1" applyBorder="1" applyAlignment="1">
      <alignment horizontal="center"/>
    </xf>
    <xf numFmtId="0" fontId="43" fillId="81" borderId="0" xfId="0" applyFont="1" applyFill="1" applyBorder="1" applyAlignment="1">
      <alignment horizontal="center"/>
    </xf>
    <xf numFmtId="0" fontId="30" fillId="0" borderId="0" xfId="0" applyFont="1" applyAlignment="1">
      <alignment horizontal="center"/>
    </xf>
    <xf numFmtId="0" fontId="23" fillId="0" borderId="0" xfId="0" applyFont="1" applyAlignment="1">
      <alignment horizontal="center"/>
    </xf>
    <xf numFmtId="49" fontId="24" fillId="0" borderId="0" xfId="0" applyNumberFormat="1" applyFont="1" applyAlignment="1">
      <alignment horizontal="center" vertical="center"/>
    </xf>
    <xf numFmtId="4" fontId="24" fillId="0" borderId="0" xfId="17" applyNumberFormat="1" applyFont="1" applyAlignment="1">
      <alignment horizontal="center" vertical="center"/>
    </xf>
    <xf numFmtId="0" fontId="0" fillId="0" borderId="0" xfId="0" applyAlignment="1">
      <alignment horizontal="center"/>
    </xf>
    <xf numFmtId="0" fontId="25" fillId="27" borderId="0" xfId="0" applyFont="1" applyFill="1" applyAlignment="1">
      <alignment horizontal="center" vertical="center"/>
    </xf>
    <xf numFmtId="0" fontId="16" fillId="0" borderId="0" xfId="0" applyFont="1" applyAlignment="1">
      <alignment horizontal="center" wrapText="1"/>
    </xf>
    <xf numFmtId="0" fontId="39" fillId="26" borderId="0" xfId="0" applyFont="1" applyFill="1" applyBorder="1" applyAlignment="1">
      <alignment horizontal="left" vertical="center"/>
    </xf>
    <xf numFmtId="0" fontId="42" fillId="26" borderId="83" xfId="0" applyFont="1" applyFill="1" applyBorder="1" applyAlignment="1">
      <alignment horizontal="center" vertical="center"/>
    </xf>
    <xf numFmtId="0" fontId="42" fillId="26" borderId="84" xfId="0" applyFont="1" applyFill="1" applyBorder="1" applyAlignment="1">
      <alignment horizontal="center" vertical="center"/>
    </xf>
    <xf numFmtId="0" fontId="42" fillId="26" borderId="85" xfId="0" applyFont="1" applyFill="1" applyBorder="1" applyAlignment="1">
      <alignment horizontal="center" vertical="center"/>
    </xf>
    <xf numFmtId="0" fontId="42" fillId="26" borderId="86" xfId="0" applyFont="1" applyFill="1" applyBorder="1" applyAlignment="1">
      <alignment horizontal="center" vertical="center"/>
    </xf>
    <xf numFmtId="0" fontId="42" fillId="26" borderId="87" xfId="0" applyFont="1" applyFill="1" applyBorder="1" applyAlignment="1">
      <alignment horizontal="center" vertical="center"/>
    </xf>
    <xf numFmtId="0" fontId="42" fillId="26" borderId="88" xfId="0" applyFont="1" applyFill="1" applyBorder="1" applyAlignment="1">
      <alignment horizontal="center" vertical="center"/>
    </xf>
    <xf numFmtId="0" fontId="28" fillId="26" borderId="83" xfId="0" applyFont="1" applyFill="1" applyBorder="1" applyAlignment="1">
      <alignment horizontal="center"/>
    </xf>
    <xf numFmtId="0" fontId="28" fillId="26" borderId="84" xfId="0" applyFont="1" applyFill="1" applyBorder="1" applyAlignment="1">
      <alignment horizontal="center"/>
    </xf>
    <xf numFmtId="0" fontId="28" fillId="26" borderId="85" xfId="0" applyFont="1" applyFill="1" applyBorder="1" applyAlignment="1">
      <alignment horizontal="center"/>
    </xf>
    <xf numFmtId="0" fontId="28" fillId="26" borderId="86" xfId="0" applyFont="1" applyFill="1" applyBorder="1" applyAlignment="1">
      <alignment horizontal="center"/>
    </xf>
    <xf numFmtId="0" fontId="28" fillId="26" borderId="87" xfId="0" applyFont="1" applyFill="1" applyBorder="1" applyAlignment="1">
      <alignment horizontal="center"/>
    </xf>
    <xf numFmtId="0" fontId="28" fillId="26" borderId="88" xfId="0" applyFont="1" applyFill="1" applyBorder="1" applyAlignment="1">
      <alignment horizontal="center"/>
    </xf>
    <xf numFmtId="0" fontId="13" fillId="0" borderId="0" xfId="0" applyFont="1" applyAlignment="1">
      <alignment horizontal="center" vertical="center"/>
    </xf>
    <xf numFmtId="43" fontId="26" fillId="26" borderId="18" xfId="17" applyFont="1" applyFill="1" applyBorder="1" applyAlignment="1">
      <alignment horizontal="center" vertical="center"/>
    </xf>
    <xf numFmtId="43" fontId="26" fillId="26" borderId="19" xfId="17" applyFont="1" applyFill="1" applyBorder="1" applyAlignment="1">
      <alignment horizontal="center" vertical="center"/>
    </xf>
    <xf numFmtId="0" fontId="26" fillId="26" borderId="16" xfId="0" applyFont="1" applyFill="1" applyBorder="1" applyAlignment="1">
      <alignment horizontal="center"/>
    </xf>
    <xf numFmtId="0" fontId="26" fillId="26" borderId="46" xfId="0" applyFont="1" applyFill="1" applyBorder="1" applyAlignment="1">
      <alignment horizontal="center"/>
    </xf>
    <xf numFmtId="0" fontId="26" fillId="26" borderId="17" xfId="0" applyFont="1" applyFill="1" applyBorder="1" applyAlignment="1">
      <alignment horizontal="center"/>
    </xf>
    <xf numFmtId="43" fontId="26" fillId="26" borderId="18" xfId="17" applyFont="1" applyFill="1" applyBorder="1" applyAlignment="1">
      <alignment horizontal="right" vertical="center"/>
    </xf>
    <xf numFmtId="43" fontId="26" fillId="26" borderId="19" xfId="17" applyFont="1" applyFill="1" applyBorder="1" applyAlignment="1">
      <alignment horizontal="right" vertical="center"/>
    </xf>
    <xf numFmtId="49" fontId="26" fillId="26" borderId="47" xfId="17" applyNumberFormat="1" applyFont="1" applyFill="1" applyBorder="1" applyAlignment="1">
      <alignment horizontal="center"/>
    </xf>
    <xf numFmtId="49" fontId="26" fillId="26" borderId="48" xfId="17" applyNumberFormat="1" applyFont="1" applyFill="1" applyBorder="1" applyAlignment="1">
      <alignment horizontal="center"/>
    </xf>
    <xf numFmtId="43" fontId="26" fillId="26" borderId="49" xfId="17" applyFont="1" applyFill="1" applyBorder="1" applyAlignment="1">
      <alignment horizontal="center"/>
    </xf>
    <xf numFmtId="43" fontId="26" fillId="26" borderId="50" xfId="17" applyFont="1" applyFill="1" applyBorder="1" applyAlignment="1">
      <alignment horizontal="center"/>
    </xf>
    <xf numFmtId="49" fontId="26" fillId="26" borderId="18" xfId="17" applyNumberFormat="1" applyFont="1" applyFill="1" applyBorder="1" applyAlignment="1">
      <alignment horizontal="center" vertical="center"/>
    </xf>
    <xf numFmtId="49" fontId="26" fillId="26" borderId="19" xfId="17" applyNumberFormat="1" applyFont="1" applyFill="1" applyBorder="1" applyAlignment="1">
      <alignment horizontal="center" vertical="center"/>
    </xf>
    <xf numFmtId="43" fontId="26" fillId="26" borderId="63" xfId="17" applyFont="1" applyFill="1" applyBorder="1" applyAlignment="1">
      <alignment horizontal="right" vertical="center"/>
    </xf>
    <xf numFmtId="43" fontId="26" fillId="26" borderId="64" xfId="17" applyFont="1" applyFill="1" applyBorder="1" applyAlignment="1">
      <alignment horizontal="right" vertical="center"/>
    </xf>
    <xf numFmtId="43" fontId="26" fillId="26" borderId="65" xfId="17" applyFont="1" applyFill="1" applyBorder="1" applyAlignment="1">
      <alignment horizontal="right" vertical="center"/>
    </xf>
    <xf numFmtId="43" fontId="26" fillId="26" borderId="66" xfId="17" applyFont="1" applyFill="1" applyBorder="1" applyAlignment="1">
      <alignment horizontal="right" vertical="center"/>
    </xf>
  </cellXfs>
  <cellStyles count="18">
    <cellStyle name="Accent" xfId="7" xr:uid="{00000000-0005-0000-0000-000000000000}"/>
    <cellStyle name="Accent 1" xfId="8" xr:uid="{00000000-0005-0000-0000-000001000000}"/>
    <cellStyle name="Accent 2" xfId="9" xr:uid="{00000000-0005-0000-0000-000002000000}"/>
    <cellStyle name="Accent 3" xfId="10" xr:uid="{00000000-0005-0000-0000-000003000000}"/>
    <cellStyle name="Bad" xfId="4" builtinId="27" customBuiltin="1"/>
    <cellStyle name="Comma" xfId="17" builtinId="3"/>
    <cellStyle name="Error" xfId="11" xr:uid="{00000000-0005-0000-0000-000005000000}"/>
    <cellStyle name="Footnote" xfId="12" xr:uid="{00000000-0005-0000-0000-000006000000}"/>
    <cellStyle name="Good" xfId="3" builtinId="26" customBuiltin="1"/>
    <cellStyle name="Heading" xfId="13" xr:uid="{00000000-0005-0000-0000-000008000000}"/>
    <cellStyle name="Heading 1" xfId="1" builtinId="16" customBuiltin="1"/>
    <cellStyle name="Heading 2" xfId="2" builtinId="17" customBuiltin="1"/>
    <cellStyle name="Neutral" xfId="5" builtinId="28" customBuiltin="1"/>
    <cellStyle name="Normal" xfId="0" builtinId="0" customBuiltin="1"/>
    <cellStyle name="Note" xfId="6" builtinId="10" customBuiltin="1"/>
    <cellStyle name="Status" xfId="14" xr:uid="{00000000-0005-0000-0000-00000E000000}"/>
    <cellStyle name="Text" xfId="15" xr:uid="{00000000-0005-0000-0000-00000F000000}"/>
    <cellStyle name="Warning" xfId="16" xr:uid="{00000000-0005-0000-0000-000010000000}"/>
  </cellStyles>
  <dxfs count="1">
    <dxf>
      <fill>
        <patternFill>
          <bgColor theme="6" tint="-0.24994659260841701"/>
        </patternFill>
      </fill>
    </dxf>
  </dxfs>
  <tableStyles count="0" defaultTableStyle="TableStyleMedium2" defaultPivotStyle="PivotStyleLight16"/>
  <colors>
    <mruColors>
      <color rgb="FFFCC808"/>
      <color rgb="FF00D9EA"/>
      <color rgb="FFA0FC18"/>
      <color rgb="FFFF5601"/>
      <color rgb="FFFC3904"/>
      <color rgb="FFFF2501"/>
      <color rgb="FFF79403"/>
      <color rgb="FFE57801"/>
      <color rgb="FFE67800"/>
      <color rgb="FFF9AA0B"/>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8" Type="http://schemas.microsoft.com/office/2007/relationships/hdphoto" Target="../media/hdphoto4.wdp"/><Relationship Id="rId3" Type="http://schemas.openxmlformats.org/officeDocument/2006/relationships/image" Target="../media/image12.png"/><Relationship Id="rId7" Type="http://schemas.openxmlformats.org/officeDocument/2006/relationships/image" Target="../media/image14.png"/><Relationship Id="rId2" Type="http://schemas.microsoft.com/office/2007/relationships/hdphoto" Target="../media/hdphoto1.wdp"/><Relationship Id="rId1" Type="http://schemas.openxmlformats.org/officeDocument/2006/relationships/image" Target="../media/image11.png"/><Relationship Id="rId6" Type="http://schemas.microsoft.com/office/2007/relationships/hdphoto" Target="../media/hdphoto3.wdp"/><Relationship Id="rId5" Type="http://schemas.openxmlformats.org/officeDocument/2006/relationships/image" Target="../media/image13.png"/><Relationship Id="rId4" Type="http://schemas.microsoft.com/office/2007/relationships/hdphoto" Target="../media/hdphoto2.wdp"/></Relationships>
</file>

<file path=xl/drawings/_rels/drawing5.xml.rels><?xml version="1.0" encoding="UTF-8" standalone="yes"?>
<Relationships xmlns="http://schemas.openxmlformats.org/package/2006/relationships"><Relationship Id="rId3" Type="http://schemas.openxmlformats.org/officeDocument/2006/relationships/image" Target="../media/image16.png"/><Relationship Id="rId2" Type="http://schemas.microsoft.com/office/2007/relationships/hdphoto" Target="../media/hdphoto5.wdp"/><Relationship Id="rId1" Type="http://schemas.openxmlformats.org/officeDocument/2006/relationships/image" Target="../media/image15.png"/><Relationship Id="rId5" Type="http://schemas.openxmlformats.org/officeDocument/2006/relationships/image" Target="../media/image17.png"/><Relationship Id="rId4" Type="http://schemas.microsoft.com/office/2007/relationships/hdphoto" Target="../media/hdphoto6.wdp"/></Relationships>
</file>

<file path=xl/drawings/_rels/drawing7.xml.rels><?xml version="1.0" encoding="UTF-8" standalone="yes"?>
<Relationships xmlns="http://schemas.openxmlformats.org/package/2006/relationships"><Relationship Id="rId2" Type="http://schemas.microsoft.com/office/2007/relationships/hdphoto" Target="../media/hdphoto5.wdp"/><Relationship Id="rId1" Type="http://schemas.openxmlformats.org/officeDocument/2006/relationships/image" Target="../media/image15.png"/></Relationships>
</file>

<file path=xl/drawings/_rels/drawing8.xml.rels><?xml version="1.0" encoding="UTF-8" standalone="yes"?>
<Relationships xmlns="http://schemas.openxmlformats.org/package/2006/relationships"><Relationship Id="rId3" Type="http://schemas.openxmlformats.org/officeDocument/2006/relationships/image" Target="../media/image18.png"/><Relationship Id="rId7" Type="http://schemas.openxmlformats.org/officeDocument/2006/relationships/image" Target="../media/image22.png"/><Relationship Id="rId2" Type="http://schemas.microsoft.com/office/2007/relationships/hdphoto" Target="../media/hdphoto5.wdp"/><Relationship Id="rId1" Type="http://schemas.openxmlformats.org/officeDocument/2006/relationships/image" Target="../media/image15.png"/><Relationship Id="rId6" Type="http://schemas.openxmlformats.org/officeDocument/2006/relationships/image" Target="../media/image21.png"/><Relationship Id="rId5" Type="http://schemas.openxmlformats.org/officeDocument/2006/relationships/image" Target="../media/image20.png"/><Relationship Id="rId4" Type="http://schemas.openxmlformats.org/officeDocument/2006/relationships/image" Target="../media/image19.png"/></Relationships>
</file>

<file path=xl/drawings/_rels/drawing9.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editAs="oneCell">
    <xdr:from>
      <xdr:col>17</xdr:col>
      <xdr:colOff>0</xdr:colOff>
      <xdr:row>6</xdr:row>
      <xdr:rowOff>0</xdr:rowOff>
    </xdr:from>
    <xdr:to>
      <xdr:col>23</xdr:col>
      <xdr:colOff>486393</xdr:colOff>
      <xdr:row>32</xdr:row>
      <xdr:rowOff>67376</xdr:rowOff>
    </xdr:to>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2096750" y="1095375"/>
          <a:ext cx="4429743" cy="502037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absoluteAnchor>
    <xdr:pos x="2438273" y="650113"/>
    <xdr:ext cx="72009" cy="166370"/>
    <xdr:sp macro="" textlink="">
      <xdr:nvSpPr>
        <xdr:cNvPr id="2" name="TextBox 1">
          <a:extLst>
            <a:ext uri="{FF2B5EF4-FFF2-40B4-BE49-F238E27FC236}">
              <a16:creationId xmlns:a16="http://schemas.microsoft.com/office/drawing/2014/main" id="{00000000-0008-0000-0F00-000002000000}"/>
            </a:ext>
          </a:extLst>
        </xdr:cNvPr>
        <xdr:cNvSpPr txBox="1">
          <a:spLocks noResize="1"/>
        </xdr:cNvSpPr>
      </xdr:nvSpPr>
      <xdr:spPr>
        <a:xfrm>
          <a:off x="2438273" y="650113"/>
          <a:ext cx="72009" cy="166370"/>
        </a:xfrm>
        <a:prstGeom prst="rect">
          <a:avLst/>
        </a:prstGeom>
        <a:noFill/>
        <a:ln>
          <a:noFill/>
        </a:ln>
      </xdr:spPr>
      <xdr:txBody>
        <a:bodyPr vert="horz" wrap="none" lIns="0" tIns="0" rIns="0" bIns="0" anchor="ctr" anchorCtr="1" compatLnSpc="0">
          <a:noAutofit/>
        </a:bodyPr>
        <a:lstStyle/>
        <a:p>
          <a:pPr lvl="0" rtl="0" hangingPunct="0">
            <a:buNone/>
            <a:tabLst/>
          </a:pPr>
          <a:endParaRPr lang="en-US" sz="1200" kern="1200">
            <a:latin typeface="Liberation Serif" pitchFamily="18"/>
          </a:endParaRPr>
        </a:p>
      </xdr:txBody>
    </xdr:sp>
    <xdr:clientData/>
  </xdr:absoluteAnchor>
  <xdr:absoluteAnchor>
    <xdr:pos x="3741166" y="378714"/>
    <xdr:ext cx="746252" cy="355345"/>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00000000-0008-0000-0F00-00000300000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14:m>
                <m:oMathPara xmlns:m="http://schemas.openxmlformats.org/officeDocument/2006/math">
                  <m:oMathParaPr>
                    <m:jc m:val="centerGroup"/>
                  </m:oMathParaPr>
                  <m:oMath xmlns:m="http://schemas.openxmlformats.org/officeDocument/2006/math">
                    <m:r>
                      <a:rPr lang="en-GB" i="1">
                        <a:latin typeface="Cambria Math" panose="02040503050406030204" pitchFamily="18" charset="0"/>
                      </a:rPr>
                      <m:t>𝑓</m:t>
                    </m:r>
                    <m:r>
                      <a:rPr lang="en-GB" i="0">
                        <a:latin typeface="Cambria Math" panose="02040503050406030204" pitchFamily="18" charset="0"/>
                      </a:rPr>
                      <m:t>=</m:t>
                    </m:r>
                    <m:f>
                      <m:fPr>
                        <m:ctrlPr>
                          <a:rPr lang="en-GB" i="1">
                            <a:latin typeface="Cambria Math" panose="02040503050406030204" pitchFamily="18" charset="0"/>
                          </a:rPr>
                        </m:ctrlPr>
                      </m:fPr>
                      <m:num>
                        <m:r>
                          <a:rPr lang="en-GB" i="0">
                            <a:latin typeface="Cambria Math" panose="02040503050406030204" pitchFamily="18" charset="0"/>
                          </a:rPr>
                          <m:t>1</m:t>
                        </m:r>
                      </m:num>
                      <m:den>
                        <m:r>
                          <a:rPr lang="en-GB" i="0">
                            <a:latin typeface="Cambria Math" panose="02040503050406030204" pitchFamily="18" charset="0"/>
                          </a:rPr>
                          <m:t>2</m:t>
                        </m:r>
                        <m:r>
                          <m:rPr>
                            <m:sty m:val="p"/>
                          </m:rPr>
                          <a:rPr lang="en-GB" i="0">
                            <a:latin typeface="Cambria Math" panose="02040503050406030204" pitchFamily="18" charset="0"/>
                          </a:rPr>
                          <m:t>Π</m:t>
                        </m:r>
                        <m:r>
                          <a:rPr lang="en-GB" i="1">
                            <a:latin typeface="Cambria Math" panose="02040503050406030204" pitchFamily="18" charset="0"/>
                          </a:rPr>
                          <m:t>𝑅𝐶</m:t>
                        </m:r>
                      </m:den>
                    </m:f>
                  </m:oMath>
                </m:oMathPara>
              </a14:m>
              <a:endParaRPr lang="en-GB">
                <a:latin typeface="Liberation Serif" pitchFamily="18"/>
              </a:endParaRPr>
            </a:p>
          </xdr:txBody>
        </xdr:sp>
      </mc:Choice>
      <mc:Fallback xmlns="">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r>
                <a:rPr lang="en-GB" i="0">
                  <a:latin typeface="Cambria Math" panose="02040503050406030204" pitchFamily="18" charset="0"/>
                </a:rPr>
                <a:t>𝑓=1/2Π𝑅𝐶</a:t>
              </a:r>
              <a:endParaRPr lang="en-GB">
                <a:latin typeface="Liberation Serif" pitchFamily="18"/>
              </a:endParaRPr>
            </a:p>
          </xdr:txBody>
        </xdr:sp>
      </mc:Fallback>
    </mc:AlternateContent>
    <xdr:clientData/>
  </xdr:absoluteAnchor>
</xdr:wsDr>
</file>

<file path=xl/drawings/drawing2.xml><?xml version="1.0" encoding="utf-8"?>
<xdr:wsDr xmlns:xdr="http://schemas.openxmlformats.org/drawingml/2006/spreadsheetDrawing" xmlns:a="http://schemas.openxmlformats.org/drawingml/2006/main">
  <xdr:twoCellAnchor editAs="oneCell">
    <xdr:from>
      <xdr:col>19</xdr:col>
      <xdr:colOff>459440</xdr:colOff>
      <xdr:row>1</xdr:row>
      <xdr:rowOff>67235</xdr:rowOff>
    </xdr:from>
    <xdr:to>
      <xdr:col>27</xdr:col>
      <xdr:colOff>574100</xdr:colOff>
      <xdr:row>20</xdr:row>
      <xdr:rowOff>67235</xdr:rowOff>
    </xdr:to>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14590058" y="246529"/>
          <a:ext cx="5583131" cy="3821206"/>
        </a:xfrm>
        <a:prstGeom prst="rect">
          <a:avLst/>
        </a:prstGeom>
      </xdr:spPr>
    </xdr:pic>
    <xdr:clientData/>
  </xdr:twoCellAnchor>
  <xdr:twoCellAnchor editAs="oneCell">
    <xdr:from>
      <xdr:col>2</xdr:col>
      <xdr:colOff>11205</xdr:colOff>
      <xdr:row>42</xdr:row>
      <xdr:rowOff>168089</xdr:rowOff>
    </xdr:from>
    <xdr:to>
      <xdr:col>10</xdr:col>
      <xdr:colOff>603213</xdr:colOff>
      <xdr:row>62</xdr:row>
      <xdr:rowOff>49791</xdr:rowOff>
    </xdr:to>
    <xdr:pic>
      <xdr:nvPicPr>
        <xdr:cNvPr id="3" name="Picture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tretch>
          <a:fillRect/>
        </a:stretch>
      </xdr:blipFill>
      <xdr:spPr>
        <a:xfrm>
          <a:off x="1479176" y="8113060"/>
          <a:ext cx="6430272" cy="3467584"/>
        </a:xfrm>
        <a:prstGeom prst="rect">
          <a:avLst/>
        </a:prstGeom>
      </xdr:spPr>
    </xdr:pic>
    <xdr:clientData/>
  </xdr:twoCellAnchor>
  <xdr:twoCellAnchor editAs="oneCell">
    <xdr:from>
      <xdr:col>10</xdr:col>
      <xdr:colOff>773206</xdr:colOff>
      <xdr:row>38</xdr:row>
      <xdr:rowOff>89647</xdr:rowOff>
    </xdr:from>
    <xdr:to>
      <xdr:col>17</xdr:col>
      <xdr:colOff>399642</xdr:colOff>
      <xdr:row>58</xdr:row>
      <xdr:rowOff>85665</xdr:rowOff>
    </xdr:to>
    <xdr:pic>
      <xdr:nvPicPr>
        <xdr:cNvPr id="4" name="Picture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3"/>
        <a:stretch>
          <a:fillRect/>
        </a:stretch>
      </xdr:blipFill>
      <xdr:spPr>
        <a:xfrm>
          <a:off x="8079441" y="7317441"/>
          <a:ext cx="5106113" cy="3581900"/>
        </a:xfrm>
        <a:prstGeom prst="rect">
          <a:avLst/>
        </a:prstGeom>
      </xdr:spPr>
    </xdr:pic>
    <xdr:clientData/>
  </xdr:twoCellAnchor>
  <xdr:twoCellAnchor editAs="oneCell">
    <xdr:from>
      <xdr:col>4</xdr:col>
      <xdr:colOff>123265</xdr:colOff>
      <xdr:row>85</xdr:row>
      <xdr:rowOff>89647</xdr:rowOff>
    </xdr:from>
    <xdr:to>
      <xdr:col>21</xdr:col>
      <xdr:colOff>60042</xdr:colOff>
      <xdr:row>113</xdr:row>
      <xdr:rowOff>42156</xdr:rowOff>
    </xdr:to>
    <xdr:pic>
      <xdr:nvPicPr>
        <xdr:cNvPr id="5" name="Picture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4"/>
        <a:stretch>
          <a:fillRect/>
        </a:stretch>
      </xdr:blipFill>
      <xdr:spPr>
        <a:xfrm>
          <a:off x="3003177" y="15744265"/>
          <a:ext cx="12689071" cy="4972744"/>
        </a:xfrm>
        <a:prstGeom prst="rect">
          <a:avLst/>
        </a:prstGeom>
      </xdr:spPr>
    </xdr:pic>
    <xdr:clientData/>
  </xdr:twoCellAnchor>
  <xdr:twoCellAnchor editAs="oneCell">
    <xdr:from>
      <xdr:col>4</xdr:col>
      <xdr:colOff>224118</xdr:colOff>
      <xdr:row>64</xdr:row>
      <xdr:rowOff>33618</xdr:rowOff>
    </xdr:from>
    <xdr:to>
      <xdr:col>11</xdr:col>
      <xdr:colOff>730363</xdr:colOff>
      <xdr:row>84</xdr:row>
      <xdr:rowOff>58214</xdr:rowOff>
    </xdr:to>
    <xdr:pic>
      <xdr:nvPicPr>
        <xdr:cNvPr id="6" name="Picture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5"/>
        <a:stretch>
          <a:fillRect/>
        </a:stretch>
      </xdr:blipFill>
      <xdr:spPr>
        <a:xfrm>
          <a:off x="3104030" y="11923059"/>
          <a:ext cx="6154009" cy="3610479"/>
        </a:xfrm>
        <a:prstGeom prst="rect">
          <a:avLst/>
        </a:prstGeom>
      </xdr:spPr>
    </xdr:pic>
    <xdr:clientData/>
  </xdr:twoCellAnchor>
  <xdr:twoCellAnchor editAs="oneCell">
    <xdr:from>
      <xdr:col>12</xdr:col>
      <xdr:colOff>179295</xdr:colOff>
      <xdr:row>60</xdr:row>
      <xdr:rowOff>11207</xdr:rowOff>
    </xdr:from>
    <xdr:to>
      <xdr:col>23</xdr:col>
      <xdr:colOff>29065</xdr:colOff>
      <xdr:row>69</xdr:row>
      <xdr:rowOff>159931</xdr:rowOff>
    </xdr:to>
    <xdr:pic>
      <xdr:nvPicPr>
        <xdr:cNvPr id="7" name="Picture 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6"/>
        <a:stretch>
          <a:fillRect/>
        </a:stretch>
      </xdr:blipFill>
      <xdr:spPr>
        <a:xfrm>
          <a:off x="9502589" y="11183472"/>
          <a:ext cx="7525800" cy="176237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285377</xdr:colOff>
      <xdr:row>12</xdr:row>
      <xdr:rowOff>2989</xdr:rowOff>
    </xdr:from>
    <xdr:to>
      <xdr:col>11</xdr:col>
      <xdr:colOff>57624</xdr:colOff>
      <xdr:row>24</xdr:row>
      <xdr:rowOff>37354</xdr:rowOff>
    </xdr:to>
    <xdr:pic>
      <xdr:nvPicPr>
        <xdr:cNvPr id="7" name="Picture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1"/>
        <a:srcRect l="20523" t="34079" r="46278" b="23694"/>
        <a:stretch/>
      </xdr:blipFill>
      <xdr:spPr>
        <a:xfrm>
          <a:off x="6291730" y="2169460"/>
          <a:ext cx="3036894" cy="2200835"/>
        </a:xfrm>
        <a:prstGeom prst="rect">
          <a:avLst/>
        </a:prstGeom>
      </xdr:spPr>
    </xdr:pic>
    <xdr:clientData/>
  </xdr:twoCellAnchor>
  <xdr:twoCellAnchor editAs="oneCell">
    <xdr:from>
      <xdr:col>1</xdr:col>
      <xdr:colOff>381000</xdr:colOff>
      <xdr:row>44</xdr:row>
      <xdr:rowOff>11206</xdr:rowOff>
    </xdr:from>
    <xdr:to>
      <xdr:col>9</xdr:col>
      <xdr:colOff>489057</xdr:colOff>
      <xdr:row>60</xdr:row>
      <xdr:rowOff>154500</xdr:rowOff>
    </xdr:to>
    <xdr:pic>
      <xdr:nvPicPr>
        <xdr:cNvPr id="2" name="Picture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2"/>
        <a:stretch>
          <a:fillRect/>
        </a:stretch>
      </xdr:blipFill>
      <xdr:spPr>
        <a:xfrm>
          <a:off x="1042147" y="7944971"/>
          <a:ext cx="7459116" cy="3000794"/>
        </a:xfrm>
        <a:prstGeom prst="rect">
          <a:avLst/>
        </a:prstGeom>
      </xdr:spPr>
    </xdr:pic>
    <xdr:clientData/>
  </xdr:twoCellAnchor>
  <xdr:twoCellAnchor editAs="oneCell">
    <xdr:from>
      <xdr:col>12</xdr:col>
      <xdr:colOff>649941</xdr:colOff>
      <xdr:row>45</xdr:row>
      <xdr:rowOff>56030</xdr:rowOff>
    </xdr:from>
    <xdr:to>
      <xdr:col>24</xdr:col>
      <xdr:colOff>432503</xdr:colOff>
      <xdr:row>73</xdr:row>
      <xdr:rowOff>95956</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3"/>
        <a:stretch>
          <a:fillRect/>
        </a:stretch>
      </xdr:blipFill>
      <xdr:spPr>
        <a:xfrm>
          <a:off x="10589559" y="8169089"/>
          <a:ext cx="7716327" cy="504895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12</xdr:col>
      <xdr:colOff>107950</xdr:colOff>
      <xdr:row>27</xdr:row>
      <xdr:rowOff>0</xdr:rowOff>
    </xdr:from>
    <xdr:to>
      <xdr:col>13</xdr:col>
      <xdr:colOff>393966</xdr:colOff>
      <xdr:row>31</xdr:row>
      <xdr:rowOff>6454</xdr:rowOff>
    </xdr:to>
    <xdr:pic>
      <xdr:nvPicPr>
        <xdr:cNvPr id="2" name="Picture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artisticGlowEdges/>
                  </a14:imgEffect>
                </a14:imgLayer>
              </a14:imgProps>
            </a:ext>
            <a:ext uri="{28A0092B-C50C-407E-A947-70E740481C1C}">
              <a14:useLocalDpi xmlns:a14="http://schemas.microsoft.com/office/drawing/2010/main" val="0"/>
            </a:ext>
          </a:extLst>
        </a:blip>
        <a:stretch>
          <a:fillRect/>
        </a:stretch>
      </xdr:blipFill>
      <xdr:spPr>
        <a:xfrm>
          <a:off x="9023350" y="5213350"/>
          <a:ext cx="1886216" cy="743054"/>
        </a:xfrm>
        <a:prstGeom prst="rect">
          <a:avLst/>
        </a:prstGeom>
      </xdr:spPr>
    </xdr:pic>
    <xdr:clientData/>
  </xdr:twoCellAnchor>
  <xdr:twoCellAnchor editAs="oneCell">
    <xdr:from>
      <xdr:col>15</xdr:col>
      <xdr:colOff>105550</xdr:colOff>
      <xdr:row>21</xdr:row>
      <xdr:rowOff>181750</xdr:rowOff>
    </xdr:from>
    <xdr:to>
      <xdr:col>19</xdr:col>
      <xdr:colOff>57149</xdr:colOff>
      <xdr:row>31</xdr:row>
      <xdr:rowOff>146226</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artisticGlowEdges/>
                  </a14:imgEffect>
                </a14:imgLayer>
              </a14:imgProps>
            </a:ext>
            <a:ext uri="{28A0092B-C50C-407E-A947-70E740481C1C}">
              <a14:useLocalDpi xmlns:a14="http://schemas.microsoft.com/office/drawing/2010/main" val="0"/>
            </a:ext>
          </a:extLst>
        </a:blip>
        <a:stretch>
          <a:fillRect/>
        </a:stretch>
      </xdr:blipFill>
      <xdr:spPr>
        <a:xfrm>
          <a:off x="11929250" y="4283850"/>
          <a:ext cx="2567799" cy="1812326"/>
        </a:xfrm>
        <a:prstGeom prst="rect">
          <a:avLst/>
        </a:prstGeom>
      </xdr:spPr>
    </xdr:pic>
    <xdr:clientData/>
  </xdr:twoCellAnchor>
  <xdr:twoCellAnchor editAs="oneCell">
    <xdr:from>
      <xdr:col>12</xdr:col>
      <xdr:colOff>192050</xdr:colOff>
      <xdr:row>9</xdr:row>
      <xdr:rowOff>20600</xdr:rowOff>
    </xdr:from>
    <xdr:to>
      <xdr:col>13</xdr:col>
      <xdr:colOff>150579</xdr:colOff>
      <xdr:row>13</xdr:row>
      <xdr:rowOff>26857</xdr:rowOff>
    </xdr:to>
    <xdr:pic>
      <xdr:nvPicPr>
        <xdr:cNvPr id="4" name="Picture 3">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5">
          <a:extLst>
            <a:ext uri="{BEBA8EAE-BF5A-486C-A8C5-ECC9F3942E4B}">
              <a14:imgProps xmlns:a14="http://schemas.microsoft.com/office/drawing/2010/main">
                <a14:imgLayer r:embed="rId6">
                  <a14:imgEffect>
                    <a14:artisticGlowEdges/>
                  </a14:imgEffect>
                </a14:imgLayer>
              </a14:imgProps>
            </a:ext>
            <a:ext uri="{28A0092B-C50C-407E-A947-70E740481C1C}">
              <a14:useLocalDpi xmlns:a14="http://schemas.microsoft.com/office/drawing/2010/main" val="0"/>
            </a:ext>
          </a:extLst>
        </a:blip>
        <a:stretch>
          <a:fillRect/>
        </a:stretch>
      </xdr:blipFill>
      <xdr:spPr>
        <a:xfrm>
          <a:off x="9107450" y="1798600"/>
          <a:ext cx="1558729" cy="742857"/>
        </a:xfrm>
        <a:prstGeom prst="rect">
          <a:avLst/>
        </a:prstGeom>
      </xdr:spPr>
    </xdr:pic>
    <xdr:clientData/>
  </xdr:twoCellAnchor>
  <xdr:twoCellAnchor editAs="oneCell">
    <xdr:from>
      <xdr:col>14</xdr:col>
      <xdr:colOff>615100</xdr:colOff>
      <xdr:row>6</xdr:row>
      <xdr:rowOff>31750</xdr:rowOff>
    </xdr:from>
    <xdr:to>
      <xdr:col>18</xdr:col>
      <xdr:colOff>372379</xdr:colOff>
      <xdr:row>14</xdr:row>
      <xdr:rowOff>89749</xdr:rowOff>
    </xdr:to>
    <xdr:pic>
      <xdr:nvPicPr>
        <xdr:cNvPr id="5" name="Picture 4">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7">
          <a:extLst>
            <a:ext uri="{BEBA8EAE-BF5A-486C-A8C5-ECC9F3942E4B}">
              <a14:imgProps xmlns:a14="http://schemas.microsoft.com/office/drawing/2010/main">
                <a14:imgLayer r:embed="rId8">
                  <a14:imgEffect>
                    <a14:artisticGlowEdges/>
                  </a14:imgEffect>
                </a14:imgLayer>
              </a14:imgProps>
            </a:ext>
            <a:ext uri="{28A0092B-C50C-407E-A947-70E740481C1C}">
              <a14:useLocalDpi xmlns:a14="http://schemas.microsoft.com/office/drawing/2010/main" val="0"/>
            </a:ext>
          </a:extLst>
        </a:blip>
        <a:stretch>
          <a:fillRect/>
        </a:stretch>
      </xdr:blipFill>
      <xdr:spPr>
        <a:xfrm>
          <a:off x="11784750" y="1257300"/>
          <a:ext cx="2373479" cy="153119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24</xdr:col>
      <xdr:colOff>25976</xdr:colOff>
      <xdr:row>11</xdr:row>
      <xdr:rowOff>88901</xdr:rowOff>
    </xdr:from>
    <xdr:to>
      <xdr:col>32</xdr:col>
      <xdr:colOff>127000</xdr:colOff>
      <xdr:row>28</xdr:row>
      <xdr:rowOff>19763</xdr:rowOff>
    </xdr:to>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artisticGlowEdges/>
                  </a14:imgEffect>
                  <a14:imgEffect>
                    <a14:sharpenSoften amount="80000"/>
                  </a14:imgEffect>
                  <a14:imgEffect>
                    <a14:saturation sat="137000"/>
                  </a14:imgEffect>
                </a14:imgLayer>
              </a14:imgProps>
            </a:ext>
          </a:extLst>
        </a:blip>
        <a:stretch>
          <a:fillRect/>
        </a:stretch>
      </xdr:blipFill>
      <xdr:spPr>
        <a:xfrm>
          <a:off x="17736126" y="2235201"/>
          <a:ext cx="5333424" cy="3182062"/>
        </a:xfrm>
        <a:prstGeom prst="rect">
          <a:avLst/>
        </a:prstGeom>
      </xdr:spPr>
    </xdr:pic>
    <xdr:clientData/>
  </xdr:twoCellAnchor>
  <xdr:twoCellAnchor editAs="oneCell">
    <xdr:from>
      <xdr:col>16</xdr:col>
      <xdr:colOff>546101</xdr:colOff>
      <xdr:row>2</xdr:row>
      <xdr:rowOff>19050</xdr:rowOff>
    </xdr:from>
    <xdr:to>
      <xdr:col>22</xdr:col>
      <xdr:colOff>349251</xdr:colOff>
      <xdr:row>22</xdr:row>
      <xdr:rowOff>6355</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artisticGlowEdges/>
                  </a14:imgEffect>
                </a14:imgLayer>
              </a14:imgProps>
            </a:ext>
          </a:extLst>
        </a:blip>
        <a:stretch>
          <a:fillRect/>
        </a:stretch>
      </xdr:blipFill>
      <xdr:spPr>
        <a:xfrm>
          <a:off x="13023851" y="387350"/>
          <a:ext cx="3727450" cy="3911605"/>
        </a:xfrm>
        <a:prstGeom prst="rect">
          <a:avLst/>
        </a:prstGeom>
      </xdr:spPr>
    </xdr:pic>
    <xdr:clientData/>
  </xdr:twoCellAnchor>
  <xdr:twoCellAnchor editAs="oneCell">
    <xdr:from>
      <xdr:col>12</xdr:col>
      <xdr:colOff>901700</xdr:colOff>
      <xdr:row>32</xdr:row>
      <xdr:rowOff>95421</xdr:rowOff>
    </xdr:from>
    <xdr:to>
      <xdr:col>25</xdr:col>
      <xdr:colOff>266640</xdr:colOff>
      <xdr:row>61</xdr:row>
      <xdr:rowOff>17735</xdr:rowOff>
    </xdr:to>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5"/>
        <a:stretch>
          <a:fillRect/>
        </a:stretch>
      </xdr:blipFill>
      <xdr:spPr>
        <a:xfrm>
          <a:off x="9817100" y="6229521"/>
          <a:ext cx="8813740" cy="5262664"/>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4</xdr:col>
      <xdr:colOff>114300</xdr:colOff>
      <xdr:row>6</xdr:row>
      <xdr:rowOff>69850</xdr:rowOff>
    </xdr:from>
    <xdr:to>
      <xdr:col>9</xdr:col>
      <xdr:colOff>266700</xdr:colOff>
      <xdr:row>9</xdr:row>
      <xdr:rowOff>127000</xdr:rowOff>
    </xdr:to>
    <xdr:cxnSp macro="">
      <xdr:nvCxnSpPr>
        <xdr:cNvPr id="4" name="Straight Arrow Connector 3">
          <a:extLst>
            <a:ext uri="{FF2B5EF4-FFF2-40B4-BE49-F238E27FC236}">
              <a16:creationId xmlns:a16="http://schemas.microsoft.com/office/drawing/2014/main" id="{00000000-0008-0000-0B00-000004000000}"/>
            </a:ext>
          </a:extLst>
        </xdr:cNvPr>
        <xdr:cNvCxnSpPr/>
      </xdr:nvCxnSpPr>
      <xdr:spPr>
        <a:xfrm flipH="1">
          <a:off x="2438400" y="1187450"/>
          <a:ext cx="2635250" cy="615950"/>
        </a:xfrm>
        <a:prstGeom prst="straightConnector1">
          <a:avLst/>
        </a:prstGeom>
        <a:ln w="38100">
          <a:solidFill>
            <a:srgbClr val="FCC808"/>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107950</xdr:colOff>
      <xdr:row>7</xdr:row>
      <xdr:rowOff>69850</xdr:rowOff>
    </xdr:from>
    <xdr:to>
      <xdr:col>9</xdr:col>
      <xdr:colOff>260350</xdr:colOff>
      <xdr:row>10</xdr:row>
      <xdr:rowOff>57150</xdr:rowOff>
    </xdr:to>
    <xdr:cxnSp macro="">
      <xdr:nvCxnSpPr>
        <xdr:cNvPr id="6" name="Straight Arrow Connector 5">
          <a:extLst>
            <a:ext uri="{FF2B5EF4-FFF2-40B4-BE49-F238E27FC236}">
              <a16:creationId xmlns:a16="http://schemas.microsoft.com/office/drawing/2014/main" id="{00000000-0008-0000-0B00-000006000000}"/>
            </a:ext>
          </a:extLst>
        </xdr:cNvPr>
        <xdr:cNvCxnSpPr/>
      </xdr:nvCxnSpPr>
      <xdr:spPr>
        <a:xfrm flipH="1" flipV="1">
          <a:off x="2432050" y="1377950"/>
          <a:ext cx="2635250" cy="546100"/>
        </a:xfrm>
        <a:prstGeom prst="straightConnector1">
          <a:avLst/>
        </a:prstGeom>
        <a:ln w="38100">
          <a:solidFill>
            <a:srgbClr val="FCC808"/>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120650</xdr:colOff>
      <xdr:row>6</xdr:row>
      <xdr:rowOff>57150</xdr:rowOff>
    </xdr:from>
    <xdr:to>
      <xdr:col>17</xdr:col>
      <xdr:colOff>425450</xdr:colOff>
      <xdr:row>9</xdr:row>
      <xdr:rowOff>114300</xdr:rowOff>
    </xdr:to>
    <xdr:cxnSp macro="">
      <xdr:nvCxnSpPr>
        <xdr:cNvPr id="14" name="Straight Arrow Connector 13">
          <a:extLst>
            <a:ext uri="{FF2B5EF4-FFF2-40B4-BE49-F238E27FC236}">
              <a16:creationId xmlns:a16="http://schemas.microsoft.com/office/drawing/2014/main" id="{00000000-0008-0000-0B00-00000E000000}"/>
            </a:ext>
          </a:extLst>
        </xdr:cNvPr>
        <xdr:cNvCxnSpPr/>
      </xdr:nvCxnSpPr>
      <xdr:spPr>
        <a:xfrm flipH="1">
          <a:off x="6908800" y="1174750"/>
          <a:ext cx="2635250" cy="615950"/>
        </a:xfrm>
        <a:prstGeom prst="straightConnector1">
          <a:avLst/>
        </a:prstGeom>
        <a:ln w="38100">
          <a:solidFill>
            <a:srgbClr val="FCC808"/>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editAs="oneCell">
    <xdr:from>
      <xdr:col>24</xdr:col>
      <xdr:colOff>25976</xdr:colOff>
      <xdr:row>11</xdr:row>
      <xdr:rowOff>88901</xdr:rowOff>
    </xdr:from>
    <xdr:to>
      <xdr:col>32</xdr:col>
      <xdr:colOff>127000</xdr:colOff>
      <xdr:row>27</xdr:row>
      <xdr:rowOff>159463</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artisticGlowEdges/>
                  </a14:imgEffect>
                  <a14:imgEffect>
                    <a14:sharpenSoften amount="80000"/>
                  </a14:imgEffect>
                  <a14:imgEffect>
                    <a14:saturation sat="137000"/>
                  </a14:imgEffect>
                </a14:imgLayer>
              </a14:imgProps>
            </a:ext>
          </a:extLst>
        </a:blip>
        <a:stretch>
          <a:fillRect/>
        </a:stretch>
      </xdr:blipFill>
      <xdr:spPr>
        <a:xfrm>
          <a:off x="17736126" y="2127251"/>
          <a:ext cx="5333424" cy="318206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24</xdr:col>
      <xdr:colOff>25976</xdr:colOff>
      <xdr:row>11</xdr:row>
      <xdr:rowOff>88901</xdr:rowOff>
    </xdr:from>
    <xdr:to>
      <xdr:col>32</xdr:col>
      <xdr:colOff>127000</xdr:colOff>
      <xdr:row>28</xdr:row>
      <xdr:rowOff>19763</xdr:rowOff>
    </xdr:to>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artisticGlowEdges/>
                  </a14:imgEffect>
                  <a14:imgEffect>
                    <a14:sharpenSoften amount="80000"/>
                  </a14:imgEffect>
                  <a14:imgEffect>
                    <a14:saturation sat="137000"/>
                  </a14:imgEffect>
                </a14:imgLayer>
              </a14:imgProps>
            </a:ext>
          </a:extLst>
        </a:blip>
        <a:stretch>
          <a:fillRect/>
        </a:stretch>
      </xdr:blipFill>
      <xdr:spPr>
        <a:xfrm>
          <a:off x="17736126" y="2235201"/>
          <a:ext cx="5333424" cy="3182062"/>
        </a:xfrm>
        <a:prstGeom prst="rect">
          <a:avLst/>
        </a:prstGeom>
      </xdr:spPr>
    </xdr:pic>
    <xdr:clientData/>
  </xdr:twoCellAnchor>
  <xdr:twoCellAnchor editAs="oneCell">
    <xdr:from>
      <xdr:col>14</xdr:col>
      <xdr:colOff>120650</xdr:colOff>
      <xdr:row>2</xdr:row>
      <xdr:rowOff>97320</xdr:rowOff>
    </xdr:from>
    <xdr:to>
      <xdr:col>21</xdr:col>
      <xdr:colOff>618098</xdr:colOff>
      <xdr:row>19</xdr:row>
      <xdr:rowOff>172401</xdr:rowOff>
    </xdr:to>
    <xdr:pic>
      <xdr:nvPicPr>
        <xdr:cNvPr id="5" name="Picture 4">
          <a:extLst>
            <a:ext uri="{FF2B5EF4-FFF2-40B4-BE49-F238E27FC236}">
              <a16:creationId xmlns:a16="http://schemas.microsoft.com/office/drawing/2014/main" id="{00000000-0008-0000-0D00-000005000000}"/>
            </a:ext>
          </a:extLst>
        </xdr:cNvPr>
        <xdr:cNvPicPr>
          <a:picLocks noChangeAspect="1"/>
        </xdr:cNvPicPr>
      </xdr:nvPicPr>
      <xdr:blipFill>
        <a:blip xmlns:r="http://schemas.openxmlformats.org/officeDocument/2006/relationships" r:embed="rId3"/>
        <a:stretch>
          <a:fillRect/>
        </a:stretch>
      </xdr:blipFill>
      <xdr:spPr>
        <a:xfrm>
          <a:off x="12033250" y="465620"/>
          <a:ext cx="5075798" cy="3326281"/>
        </a:xfrm>
        <a:prstGeom prst="rect">
          <a:avLst/>
        </a:prstGeom>
      </xdr:spPr>
    </xdr:pic>
    <xdr:clientData/>
  </xdr:twoCellAnchor>
  <xdr:twoCellAnchor editAs="oneCell">
    <xdr:from>
      <xdr:col>14</xdr:col>
      <xdr:colOff>6350</xdr:colOff>
      <xdr:row>49</xdr:row>
      <xdr:rowOff>42515</xdr:rowOff>
    </xdr:from>
    <xdr:to>
      <xdr:col>21</xdr:col>
      <xdr:colOff>525079</xdr:colOff>
      <xdr:row>66</xdr:row>
      <xdr:rowOff>120650</xdr:rowOff>
    </xdr:to>
    <xdr:pic>
      <xdr:nvPicPr>
        <xdr:cNvPr id="6" name="Picture 5">
          <a:extLst>
            <a:ext uri="{FF2B5EF4-FFF2-40B4-BE49-F238E27FC236}">
              <a16:creationId xmlns:a16="http://schemas.microsoft.com/office/drawing/2014/main" id="{00000000-0008-0000-0D00-000006000000}"/>
            </a:ext>
          </a:extLst>
        </xdr:cNvPr>
        <xdr:cNvPicPr>
          <a:picLocks noChangeAspect="1"/>
        </xdr:cNvPicPr>
      </xdr:nvPicPr>
      <xdr:blipFill>
        <a:blip xmlns:r="http://schemas.openxmlformats.org/officeDocument/2006/relationships" r:embed="rId4"/>
        <a:stretch>
          <a:fillRect/>
        </a:stretch>
      </xdr:blipFill>
      <xdr:spPr>
        <a:xfrm>
          <a:off x="11918950" y="9307165"/>
          <a:ext cx="5097079" cy="3208685"/>
        </a:xfrm>
        <a:prstGeom prst="rect">
          <a:avLst/>
        </a:prstGeom>
      </xdr:spPr>
    </xdr:pic>
    <xdr:clientData/>
  </xdr:twoCellAnchor>
  <xdr:twoCellAnchor editAs="oneCell">
    <xdr:from>
      <xdr:col>14</xdr:col>
      <xdr:colOff>117583</xdr:colOff>
      <xdr:row>20</xdr:row>
      <xdr:rowOff>38788</xdr:rowOff>
    </xdr:from>
    <xdr:to>
      <xdr:col>21</xdr:col>
      <xdr:colOff>622300</xdr:colOff>
      <xdr:row>37</xdr:row>
      <xdr:rowOff>84103</xdr:rowOff>
    </xdr:to>
    <xdr:pic>
      <xdr:nvPicPr>
        <xdr:cNvPr id="7" name="Picture 6">
          <a:extLst>
            <a:ext uri="{FF2B5EF4-FFF2-40B4-BE49-F238E27FC236}">
              <a16:creationId xmlns:a16="http://schemas.microsoft.com/office/drawing/2014/main" id="{00000000-0008-0000-0D00-000007000000}"/>
            </a:ext>
          </a:extLst>
        </xdr:cNvPr>
        <xdr:cNvPicPr>
          <a:picLocks noChangeAspect="1"/>
        </xdr:cNvPicPr>
      </xdr:nvPicPr>
      <xdr:blipFill>
        <a:blip xmlns:r="http://schemas.openxmlformats.org/officeDocument/2006/relationships" r:embed="rId5"/>
        <a:stretch>
          <a:fillRect/>
        </a:stretch>
      </xdr:blipFill>
      <xdr:spPr>
        <a:xfrm>
          <a:off x="12030183" y="3842438"/>
          <a:ext cx="5083067" cy="3296515"/>
        </a:xfrm>
        <a:prstGeom prst="rect">
          <a:avLst/>
        </a:prstGeom>
      </xdr:spPr>
    </xdr:pic>
    <xdr:clientData/>
  </xdr:twoCellAnchor>
  <xdr:twoCellAnchor editAs="oneCell">
    <xdr:from>
      <xdr:col>13</xdr:col>
      <xdr:colOff>530383</xdr:colOff>
      <xdr:row>38</xdr:row>
      <xdr:rowOff>70399</xdr:rowOff>
    </xdr:from>
    <xdr:to>
      <xdr:col>21</xdr:col>
      <xdr:colOff>609208</xdr:colOff>
      <xdr:row>41</xdr:row>
      <xdr:rowOff>101600</xdr:rowOff>
    </xdr:to>
    <xdr:pic>
      <xdr:nvPicPr>
        <xdr:cNvPr id="8" name="Picture 7">
          <a:extLst>
            <a:ext uri="{FF2B5EF4-FFF2-40B4-BE49-F238E27FC236}">
              <a16:creationId xmlns:a16="http://schemas.microsoft.com/office/drawing/2014/main" id="{00000000-0008-0000-0D00-000008000000}"/>
            </a:ext>
          </a:extLst>
        </xdr:cNvPr>
        <xdr:cNvPicPr>
          <a:picLocks noChangeAspect="1"/>
        </xdr:cNvPicPr>
      </xdr:nvPicPr>
      <xdr:blipFill>
        <a:blip xmlns:r="http://schemas.openxmlformats.org/officeDocument/2006/relationships" r:embed="rId6"/>
        <a:stretch>
          <a:fillRect/>
        </a:stretch>
      </xdr:blipFill>
      <xdr:spPr>
        <a:xfrm>
          <a:off x="11788933" y="7309399"/>
          <a:ext cx="5311225" cy="583651"/>
        </a:xfrm>
        <a:prstGeom prst="rect">
          <a:avLst/>
        </a:prstGeom>
      </xdr:spPr>
    </xdr:pic>
    <xdr:clientData/>
  </xdr:twoCellAnchor>
  <xdr:twoCellAnchor editAs="oneCell">
    <xdr:from>
      <xdr:col>14</xdr:col>
      <xdr:colOff>10680</xdr:colOff>
      <xdr:row>67</xdr:row>
      <xdr:rowOff>38100</xdr:rowOff>
    </xdr:from>
    <xdr:to>
      <xdr:col>21</xdr:col>
      <xdr:colOff>526305</xdr:colOff>
      <xdr:row>93</xdr:row>
      <xdr:rowOff>132506</xdr:rowOff>
    </xdr:to>
    <xdr:pic>
      <xdr:nvPicPr>
        <xdr:cNvPr id="9" name="Picture 8">
          <a:extLst>
            <a:ext uri="{FF2B5EF4-FFF2-40B4-BE49-F238E27FC236}">
              <a16:creationId xmlns:a16="http://schemas.microsoft.com/office/drawing/2014/main" id="{00000000-0008-0000-0D00-000009000000}"/>
            </a:ext>
          </a:extLst>
        </xdr:cNvPr>
        <xdr:cNvPicPr>
          <a:picLocks noChangeAspect="1"/>
        </xdr:cNvPicPr>
      </xdr:nvPicPr>
      <xdr:blipFill>
        <a:blip xmlns:r="http://schemas.openxmlformats.org/officeDocument/2006/relationships" r:embed="rId7"/>
        <a:stretch>
          <a:fillRect/>
        </a:stretch>
      </xdr:blipFill>
      <xdr:spPr>
        <a:xfrm>
          <a:off x="11923280" y="12617450"/>
          <a:ext cx="5093975" cy="4882306"/>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302332</xdr:colOff>
      <xdr:row>32</xdr:row>
      <xdr:rowOff>108857</xdr:rowOff>
    </xdr:to>
    <xdr:pic>
      <xdr:nvPicPr>
        <xdr:cNvPr id="2" name="Picture 1">
          <a:extLst>
            <a:ext uri="{FF2B5EF4-FFF2-40B4-BE49-F238E27FC236}">
              <a16:creationId xmlns:a16="http://schemas.microsoft.com/office/drawing/2014/main" id="{00000000-0008-0000-0E00-000002000000}"/>
            </a:ext>
          </a:extLst>
        </xdr:cNvPr>
        <xdr:cNvPicPr>
          <a:picLocks noChangeAspect="1"/>
        </xdr:cNvPicPr>
      </xdr:nvPicPr>
      <xdr:blipFill rotWithShape="1">
        <a:blip xmlns:r="http://schemas.openxmlformats.org/officeDocument/2006/relationships" r:embed="rId1"/>
        <a:srcRect l="18747" t="20836" r="52917" b="19855"/>
        <a:stretch/>
      </xdr:blipFill>
      <xdr:spPr>
        <a:xfrm>
          <a:off x="0" y="0"/>
          <a:ext cx="4937832" cy="5914571"/>
        </a:xfrm>
        <a:prstGeom prst="rect">
          <a:avLst/>
        </a:prstGeom>
      </xdr:spPr>
    </xdr:pic>
    <xdr:clientData/>
  </xdr:twoCellAnchor>
  <xdr:twoCellAnchor editAs="oneCell">
    <xdr:from>
      <xdr:col>7</xdr:col>
      <xdr:colOff>321769</xdr:colOff>
      <xdr:row>0</xdr:row>
      <xdr:rowOff>81643</xdr:rowOff>
    </xdr:from>
    <xdr:to>
      <xdr:col>13</xdr:col>
      <xdr:colOff>419931</xdr:colOff>
      <xdr:row>19</xdr:row>
      <xdr:rowOff>99786</xdr:rowOff>
    </xdr:to>
    <xdr:pic>
      <xdr:nvPicPr>
        <xdr:cNvPr id="3" name="Picture 2">
          <a:extLst>
            <a:ext uri="{FF2B5EF4-FFF2-40B4-BE49-F238E27FC236}">
              <a16:creationId xmlns:a16="http://schemas.microsoft.com/office/drawing/2014/main" id="{00000000-0008-0000-0E00-000003000000}"/>
            </a:ext>
          </a:extLst>
        </xdr:cNvPr>
        <xdr:cNvPicPr>
          <a:picLocks noChangeAspect="1"/>
        </xdr:cNvPicPr>
      </xdr:nvPicPr>
      <xdr:blipFill rotWithShape="1">
        <a:blip xmlns:r="http://schemas.openxmlformats.org/officeDocument/2006/relationships" r:embed="rId2"/>
        <a:srcRect l="20468" t="25648" r="51181" b="38246"/>
        <a:stretch/>
      </xdr:blipFill>
      <xdr:spPr>
        <a:xfrm>
          <a:off x="4957269" y="81643"/>
          <a:ext cx="4824376" cy="3465286"/>
        </a:xfrm>
        <a:prstGeom prst="rect">
          <a:avLst/>
        </a:prstGeom>
      </xdr:spPr>
    </xdr:pic>
    <xdr:clientData/>
  </xdr:twoCellAnchor>
  <xdr:twoCellAnchor editAs="oneCell">
    <xdr:from>
      <xdr:col>14</xdr:col>
      <xdr:colOff>256266</xdr:colOff>
      <xdr:row>0</xdr:row>
      <xdr:rowOff>136070</xdr:rowOff>
    </xdr:from>
    <xdr:to>
      <xdr:col>23</xdr:col>
      <xdr:colOff>383165</xdr:colOff>
      <xdr:row>22</xdr:row>
      <xdr:rowOff>99784</xdr:rowOff>
    </xdr:to>
    <xdr:pic>
      <xdr:nvPicPr>
        <xdr:cNvPr id="4" name="Picture 3">
          <a:extLst>
            <a:ext uri="{FF2B5EF4-FFF2-40B4-BE49-F238E27FC236}">
              <a16:creationId xmlns:a16="http://schemas.microsoft.com/office/drawing/2014/main" id="{00000000-0008-0000-0E00-000004000000}"/>
            </a:ext>
          </a:extLst>
        </xdr:cNvPr>
        <xdr:cNvPicPr>
          <a:picLocks noChangeAspect="1"/>
        </xdr:cNvPicPr>
      </xdr:nvPicPr>
      <xdr:blipFill rotWithShape="1">
        <a:blip xmlns:r="http://schemas.openxmlformats.org/officeDocument/2006/relationships" r:embed="rId3"/>
        <a:srcRect l="49069" t="24242" r="21986" b="42486"/>
        <a:stretch/>
      </xdr:blipFill>
      <xdr:spPr>
        <a:xfrm>
          <a:off x="9527266" y="136070"/>
          <a:ext cx="6086827" cy="3955143"/>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B2:AMK24"/>
  <sheetViews>
    <sheetView workbookViewId="0">
      <selection activeCell="D8" sqref="D8"/>
    </sheetView>
  </sheetViews>
  <sheetFormatPr defaultColWidth="16.25" defaultRowHeight="18"/>
  <cols>
    <col min="1" max="1" width="16.25" style="234"/>
    <col min="2" max="2" width="16.33203125" style="233" bestFit="1" customWidth="1"/>
    <col min="3" max="3" width="18.58203125" style="233" bestFit="1" customWidth="1"/>
    <col min="4" max="5" width="16.33203125" style="233" bestFit="1" customWidth="1"/>
    <col min="6" max="6" width="17.33203125" style="233" bestFit="1" customWidth="1"/>
    <col min="7" max="1025" width="16.25" style="233"/>
    <col min="1026" max="16384" width="16.25" style="234"/>
  </cols>
  <sheetData>
    <row r="2" spans="2:8">
      <c r="C2" s="233" t="s">
        <v>0</v>
      </c>
    </row>
    <row r="5" spans="2:8">
      <c r="D5" s="234"/>
      <c r="E5" s="234"/>
    </row>
    <row r="6" spans="2:8" ht="18.5" thickBot="1">
      <c r="B6" s="234"/>
      <c r="C6" s="234"/>
      <c r="D6" s="234"/>
      <c r="E6" s="234"/>
    </row>
    <row r="7" spans="2:8" ht="18.5" thickBot="1">
      <c r="B7" s="248" t="s">
        <v>1</v>
      </c>
      <c r="C7" s="249" t="s">
        <v>1</v>
      </c>
      <c r="D7" s="249" t="s">
        <v>2</v>
      </c>
      <c r="E7" s="249" t="s">
        <v>3</v>
      </c>
      <c r="F7" s="250" t="s">
        <v>4</v>
      </c>
      <c r="G7" s="235"/>
      <c r="H7" s="235"/>
    </row>
    <row r="8" spans="2:8">
      <c r="B8" s="251">
        <v>1</v>
      </c>
      <c r="C8" s="252">
        <v>1</v>
      </c>
      <c r="D8" s="252">
        <v>1000000</v>
      </c>
      <c r="E8" s="253">
        <v>1000000000</v>
      </c>
      <c r="F8" s="254">
        <v>1000000000000</v>
      </c>
      <c r="G8" s="235"/>
      <c r="H8" s="235"/>
    </row>
    <row r="9" spans="2:8">
      <c r="B9" s="255">
        <v>0.1</v>
      </c>
      <c r="C9" s="237">
        <v>0.1</v>
      </c>
      <c r="D9" s="237">
        <v>100000</v>
      </c>
      <c r="E9" s="237">
        <v>100000000</v>
      </c>
      <c r="F9" s="256">
        <v>100000000000</v>
      </c>
      <c r="G9" s="235"/>
      <c r="H9" s="235"/>
    </row>
    <row r="10" spans="2:8">
      <c r="B10" s="255">
        <v>0.01</v>
      </c>
      <c r="C10" s="237">
        <v>0.01</v>
      </c>
      <c r="D10" s="237">
        <v>10000</v>
      </c>
      <c r="E10" s="237">
        <v>10000000</v>
      </c>
      <c r="F10" s="256">
        <v>10000000000</v>
      </c>
      <c r="G10" s="235"/>
      <c r="H10" s="235"/>
    </row>
    <row r="11" spans="2:8">
      <c r="B11" s="255">
        <v>1E-3</v>
      </c>
      <c r="C11" s="237">
        <v>1E-3</v>
      </c>
      <c r="D11" s="237">
        <v>1000</v>
      </c>
      <c r="E11" s="237">
        <v>1000000</v>
      </c>
      <c r="F11" s="256">
        <v>1000000000</v>
      </c>
      <c r="G11" s="235"/>
      <c r="H11" s="235"/>
    </row>
    <row r="12" spans="2:8">
      <c r="B12" s="255">
        <v>1E-4</v>
      </c>
      <c r="C12" s="238">
        <v>1E-4</v>
      </c>
      <c r="D12" s="236">
        <v>100</v>
      </c>
      <c r="E12" s="237">
        <v>100000</v>
      </c>
      <c r="F12" s="256">
        <v>100000000</v>
      </c>
      <c r="G12" s="235"/>
      <c r="H12" s="235"/>
    </row>
    <row r="13" spans="2:8">
      <c r="B13" s="255">
        <v>1.0000000000000001E-5</v>
      </c>
      <c r="C13" s="239">
        <v>1.0000000000000001E-5</v>
      </c>
      <c r="D13" s="236">
        <v>10</v>
      </c>
      <c r="E13" s="237">
        <v>10000</v>
      </c>
      <c r="F13" s="256">
        <v>10000000</v>
      </c>
      <c r="G13" s="235"/>
      <c r="H13" s="235"/>
    </row>
    <row r="14" spans="2:8">
      <c r="B14" s="255">
        <v>9.9999999999999995E-7</v>
      </c>
      <c r="C14" s="240">
        <v>9.9999999999999995E-7</v>
      </c>
      <c r="D14" s="241">
        <v>1</v>
      </c>
      <c r="E14" s="236">
        <v>1000</v>
      </c>
      <c r="F14" s="256">
        <v>1000000</v>
      </c>
      <c r="G14" s="235"/>
      <c r="H14" s="235"/>
    </row>
    <row r="15" spans="2:8">
      <c r="B15" s="255">
        <v>9.9999999999999995E-8</v>
      </c>
      <c r="C15" s="242">
        <v>9.9999999999999995E-8</v>
      </c>
      <c r="D15" s="241">
        <v>0.1</v>
      </c>
      <c r="E15" s="236">
        <v>100</v>
      </c>
      <c r="F15" s="256">
        <v>100000</v>
      </c>
      <c r="G15" s="235"/>
      <c r="H15" s="235"/>
    </row>
    <row r="16" spans="2:8">
      <c r="B16" s="255">
        <v>1E-8</v>
      </c>
      <c r="C16" s="243">
        <v>1E-8</v>
      </c>
      <c r="D16" s="237">
        <v>0.01</v>
      </c>
      <c r="E16" s="236">
        <v>10</v>
      </c>
      <c r="F16" s="256">
        <v>10000</v>
      </c>
      <c r="G16" s="235"/>
      <c r="H16" s="235"/>
    </row>
    <row r="17" spans="2:8">
      <c r="B17" s="255">
        <v>1.0000000000000001E-9</v>
      </c>
      <c r="C17" s="244">
        <v>1.0000000000000001E-9</v>
      </c>
      <c r="D17" s="237">
        <v>1E-3</v>
      </c>
      <c r="E17" s="236">
        <v>1</v>
      </c>
      <c r="F17" s="256">
        <v>1000</v>
      </c>
      <c r="G17" s="235"/>
      <c r="H17" s="235"/>
    </row>
    <row r="18" spans="2:8">
      <c r="B18" s="255">
        <v>1E-10</v>
      </c>
      <c r="C18" s="245">
        <v>1E-10</v>
      </c>
      <c r="D18" s="237">
        <v>1E-4</v>
      </c>
      <c r="E18" s="246">
        <v>0.1</v>
      </c>
      <c r="F18" s="256">
        <v>100</v>
      </c>
      <c r="G18" s="235"/>
      <c r="H18" s="235"/>
    </row>
    <row r="19" spans="2:8">
      <c r="B19" s="255">
        <v>9.9999999999999994E-12</v>
      </c>
      <c r="C19" s="247">
        <v>9.9999999999999994E-12</v>
      </c>
      <c r="D19" s="239">
        <v>1.0000000000000001E-5</v>
      </c>
      <c r="E19" s="246">
        <v>0.01</v>
      </c>
      <c r="F19" s="256">
        <v>10</v>
      </c>
      <c r="G19" s="235"/>
      <c r="H19" s="235"/>
    </row>
    <row r="20" spans="2:8" ht="18.5" thickBot="1">
      <c r="B20" s="257">
        <v>9.9999999999999998E-13</v>
      </c>
      <c r="C20" s="258">
        <v>9.9999999999999998E-13</v>
      </c>
      <c r="D20" s="259">
        <v>9.9999999999999995E-7</v>
      </c>
      <c r="E20" s="260">
        <v>1E-3</v>
      </c>
      <c r="F20" s="261">
        <v>1</v>
      </c>
      <c r="G20" s="235"/>
      <c r="H20" s="235"/>
    </row>
    <row r="21" spans="2:8">
      <c r="C21" s="235"/>
      <c r="D21" s="235"/>
      <c r="E21" s="235"/>
      <c r="F21" s="235"/>
      <c r="G21" s="235"/>
      <c r="H21" s="235"/>
    </row>
    <row r="22" spans="2:8">
      <c r="C22" s="235"/>
      <c r="D22" s="235"/>
      <c r="E22" s="235"/>
      <c r="F22" s="235"/>
      <c r="G22" s="235"/>
      <c r="H22" s="235"/>
    </row>
    <row r="23" spans="2:8">
      <c r="C23" s="235"/>
      <c r="D23" s="235"/>
      <c r="E23" s="235"/>
      <c r="F23" s="235"/>
      <c r="G23" s="235"/>
      <c r="H23" s="235"/>
    </row>
    <row r="24" spans="2:8">
      <c r="C24" s="235"/>
      <c r="D24" s="235"/>
      <c r="E24" s="235"/>
      <c r="F24" s="235"/>
      <c r="G24" s="235"/>
      <c r="H24" s="235"/>
    </row>
  </sheetData>
  <pageMargins left="0" right="0" top="0.39374999999999999" bottom="0.39374999999999999" header="0" footer="0"/>
  <pageSetup paperSize="9" orientation="portrait" r:id="rId1"/>
  <headerFooter>
    <oddHeader>&amp;C&amp;A</oddHeader>
    <oddFooter>&amp;CPage &amp;P</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F34300-7EB6-4300-B474-439C43751AC0}">
  <sheetPr codeName="Sheet19">
    <tabColor rgb="FFFCC808"/>
  </sheetPr>
  <dimension ref="C1:X31"/>
  <sheetViews>
    <sheetView workbookViewId="0">
      <selection activeCell="M25" sqref="M25"/>
    </sheetView>
  </sheetViews>
  <sheetFormatPr defaultColWidth="8.58203125" defaultRowHeight="14.5"/>
  <cols>
    <col min="1" max="2" width="8.58203125" style="200"/>
    <col min="3" max="3" width="4.75" style="200" bestFit="1" customWidth="1"/>
    <col min="4" max="4" width="8.58203125" style="200"/>
    <col min="5" max="5" width="9.9140625" style="200" customWidth="1"/>
    <col min="6" max="6" width="8.58203125" style="200" customWidth="1"/>
    <col min="7" max="7" width="9.33203125" style="200" customWidth="1"/>
    <col min="8" max="8" width="5.75" style="200" bestFit="1" customWidth="1"/>
    <col min="9" max="9" width="12.6640625" style="200" customWidth="1"/>
    <col min="10" max="11" width="15.83203125" style="200" bestFit="1" customWidth="1"/>
    <col min="12" max="12" width="8.58203125" style="200"/>
    <col min="13" max="13" width="21" style="200" bestFit="1" customWidth="1"/>
    <col min="14" max="16384" width="8.58203125" style="200"/>
  </cols>
  <sheetData>
    <row r="1" spans="3:24">
      <c r="V1" s="127"/>
      <c r="W1" s="127"/>
      <c r="X1" s="127"/>
    </row>
    <row r="2" spans="3:24">
      <c r="V2" s="227"/>
      <c r="W2" s="127"/>
      <c r="X2" s="127"/>
    </row>
    <row r="3" spans="3:24">
      <c r="C3" s="307"/>
      <c r="D3" s="307"/>
      <c r="E3" s="307"/>
      <c r="F3" s="307"/>
      <c r="G3" s="307"/>
      <c r="H3" s="307"/>
      <c r="I3" s="307"/>
      <c r="V3" s="227"/>
      <c r="W3" s="127"/>
      <c r="X3" s="127"/>
    </row>
    <row r="4" spans="3:24">
      <c r="C4" s="307"/>
      <c r="D4" s="307"/>
      <c r="E4" s="307"/>
      <c r="F4" s="307"/>
      <c r="G4" s="307"/>
      <c r="H4" s="307"/>
      <c r="I4" s="307"/>
      <c r="W4" s="127"/>
      <c r="X4" s="127"/>
    </row>
    <row r="5" spans="3:24" ht="23.5" thickBot="1">
      <c r="C5" s="228"/>
      <c r="D5" s="228"/>
      <c r="E5" s="228"/>
      <c r="F5" s="228"/>
      <c r="G5" s="228"/>
      <c r="H5" s="228"/>
      <c r="I5" s="228"/>
      <c r="W5" s="227"/>
      <c r="X5" s="227"/>
    </row>
    <row r="6" spans="3:24" ht="15" thickBot="1">
      <c r="C6" s="201"/>
      <c r="D6" s="202"/>
      <c r="E6" s="202"/>
      <c r="F6" s="202"/>
      <c r="G6" s="202"/>
      <c r="H6" s="202"/>
      <c r="I6" s="202"/>
      <c r="J6" s="202"/>
      <c r="K6" s="202"/>
      <c r="L6" s="202"/>
      <c r="M6" s="203"/>
    </row>
    <row r="8" spans="3:24">
      <c r="C8" s="206"/>
      <c r="E8" s="208"/>
      <c r="G8" s="209"/>
      <c r="I8" s="207"/>
      <c r="J8" s="210"/>
      <c r="K8" s="211"/>
    </row>
    <row r="9" spans="3:24">
      <c r="E9" s="75"/>
      <c r="G9" s="75"/>
    </row>
    <row r="10" spans="3:24">
      <c r="E10" s="204"/>
      <c r="G10" s="204"/>
    </row>
    <row r="11" spans="3:24">
      <c r="E11" s="205"/>
      <c r="G11" s="205"/>
    </row>
    <row r="14" spans="3:24">
      <c r="C14" s="206"/>
      <c r="E14" s="206"/>
      <c r="G14" s="209"/>
      <c r="I14" s="206"/>
      <c r="J14" s="211"/>
      <c r="K14" s="217"/>
    </row>
    <row r="15" spans="3:24">
      <c r="C15" s="206"/>
      <c r="E15" s="218"/>
      <c r="G15" s="206"/>
      <c r="I15" s="206"/>
      <c r="J15" s="219"/>
      <c r="K15" s="220"/>
    </row>
    <row r="19" spans="3:13">
      <c r="C19" s="307"/>
      <c r="D19" s="307"/>
      <c r="E19" s="307"/>
      <c r="F19" s="307"/>
      <c r="G19" s="307"/>
      <c r="H19" s="307"/>
      <c r="I19" s="307"/>
    </row>
    <row r="20" spans="3:13">
      <c r="C20" s="307"/>
      <c r="D20" s="307"/>
      <c r="E20" s="307"/>
      <c r="F20" s="307"/>
      <c r="G20" s="307"/>
      <c r="H20" s="307"/>
      <c r="I20" s="307"/>
    </row>
    <row r="21" spans="3:13" ht="23.5" thickBot="1">
      <c r="C21" s="228"/>
      <c r="D21" s="228"/>
      <c r="E21" s="228"/>
      <c r="F21" s="228"/>
      <c r="G21" s="228"/>
      <c r="H21" s="228"/>
      <c r="I21" s="228"/>
    </row>
    <row r="22" spans="3:13" ht="15" thickBot="1">
      <c r="C22" s="201"/>
      <c r="D22" s="202"/>
      <c r="E22" s="202"/>
      <c r="F22" s="202"/>
      <c r="G22" s="202"/>
      <c r="H22" s="202"/>
      <c r="I22" s="202"/>
      <c r="J22" s="202"/>
      <c r="K22" s="202"/>
      <c r="L22" s="202"/>
      <c r="M22" s="203"/>
    </row>
    <row r="24" spans="3:13">
      <c r="C24" s="206"/>
      <c r="E24" s="212"/>
      <c r="G24" s="213"/>
      <c r="I24" s="214"/>
      <c r="J24" s="215"/>
      <c r="K24" s="216"/>
    </row>
    <row r="25" spans="3:13">
      <c r="E25" s="75"/>
      <c r="G25" s="75"/>
    </row>
    <row r="26" spans="3:13">
      <c r="E26" s="204"/>
      <c r="G26" s="204"/>
    </row>
    <row r="27" spans="3:13">
      <c r="E27" s="205"/>
      <c r="G27" s="205"/>
    </row>
    <row r="30" spans="3:13">
      <c r="C30" s="206"/>
      <c r="E30" s="206"/>
      <c r="G30" s="222"/>
      <c r="I30" s="206"/>
      <c r="J30" s="223"/>
      <c r="K30" s="225"/>
    </row>
    <row r="31" spans="3:13">
      <c r="C31" s="206"/>
      <c r="E31" s="221"/>
      <c r="G31" s="206"/>
      <c r="I31" s="206"/>
      <c r="J31" s="224"/>
      <c r="K31" s="226"/>
    </row>
  </sheetData>
  <mergeCells count="2">
    <mergeCell ref="C3:I4"/>
    <mergeCell ref="C19:I20"/>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D2691C-2D0B-426F-AD80-CE35E67CFF20}">
  <sheetPr codeName="Sheet10">
    <tabColor rgb="FF00B0F0"/>
  </sheetPr>
  <dimension ref="C1:X31"/>
  <sheetViews>
    <sheetView workbookViewId="0">
      <selection activeCell="N27" sqref="N27"/>
    </sheetView>
  </sheetViews>
  <sheetFormatPr defaultColWidth="8.58203125" defaultRowHeight="14.5"/>
  <cols>
    <col min="1" max="2" width="8.58203125" style="200"/>
    <col min="3" max="3" width="4.75" style="200" bestFit="1" customWidth="1"/>
    <col min="4" max="4" width="8.58203125" style="200"/>
    <col min="5" max="5" width="9.9140625" style="200" customWidth="1"/>
    <col min="6" max="6" width="8.58203125" style="200" customWidth="1"/>
    <col min="7" max="7" width="9.33203125" style="200" customWidth="1"/>
    <col min="8" max="8" width="5.75" style="200" bestFit="1" customWidth="1"/>
    <col min="9" max="9" width="12.6640625" style="200" customWidth="1"/>
    <col min="10" max="11" width="15.83203125" style="200" bestFit="1" customWidth="1"/>
    <col min="12" max="12" width="8.58203125" style="200"/>
    <col min="13" max="13" width="21" style="200" bestFit="1" customWidth="1"/>
    <col min="14" max="16384" width="8.58203125" style="200"/>
  </cols>
  <sheetData>
    <row r="1" spans="3:24">
      <c r="V1" s="127" t="s">
        <v>252</v>
      </c>
      <c r="W1" s="127">
        <f>IF(E9&lt;&gt;0,1, IF(E10&lt;&gt;0,1000,IF(E11&lt;&gt;0,1000000,0)))</f>
        <v>1000</v>
      </c>
      <c r="X1" s="127">
        <f>IF(G9&lt;&gt;0,1, IF(G10&lt;&gt;0,1000,IF(G11&lt;&gt;0,1000000,0)))</f>
        <v>1000</v>
      </c>
    </row>
    <row r="2" spans="3:24">
      <c r="V2" s="227"/>
      <c r="W2" s="127"/>
      <c r="X2" s="127"/>
    </row>
    <row r="3" spans="3:24">
      <c r="C3" s="307" t="s">
        <v>300</v>
      </c>
      <c r="D3" s="307"/>
      <c r="E3" s="307"/>
      <c r="F3" s="307"/>
      <c r="G3" s="307"/>
      <c r="H3" s="307"/>
      <c r="I3" s="307"/>
      <c r="V3" s="227"/>
      <c r="W3" s="127"/>
      <c r="X3" s="127"/>
    </row>
    <row r="4" spans="3:24">
      <c r="C4" s="307"/>
      <c r="D4" s="307"/>
      <c r="E4" s="307"/>
      <c r="F4" s="307"/>
      <c r="G4" s="307"/>
      <c r="H4" s="307"/>
      <c r="I4" s="307"/>
      <c r="W4" s="127"/>
      <c r="X4" s="127"/>
    </row>
    <row r="5" spans="3:24" ht="23.5" thickBot="1">
      <c r="C5" s="228"/>
      <c r="D5" s="228"/>
      <c r="E5" s="228"/>
      <c r="F5" s="228"/>
      <c r="G5" s="228"/>
      <c r="H5" s="228"/>
      <c r="I5" s="228"/>
      <c r="W5" s="227"/>
      <c r="X5" s="227"/>
    </row>
    <row r="6" spans="3:24" ht="15" thickBot="1">
      <c r="C6" s="201" t="s">
        <v>25</v>
      </c>
      <c r="D6" s="202"/>
      <c r="E6" s="202" t="s">
        <v>303</v>
      </c>
      <c r="F6" s="202"/>
      <c r="G6" s="202" t="s">
        <v>302</v>
      </c>
      <c r="H6" s="202"/>
      <c r="I6" s="202" t="s">
        <v>27</v>
      </c>
      <c r="J6" s="202" t="s">
        <v>28</v>
      </c>
      <c r="K6" s="202" t="s">
        <v>304</v>
      </c>
      <c r="L6" s="202"/>
      <c r="M6" s="203" t="s">
        <v>23</v>
      </c>
    </row>
    <row r="8" spans="3:24">
      <c r="C8" s="206">
        <v>3.3</v>
      </c>
      <c r="E8" s="208">
        <f>IF(E9&lt;&gt;0,E9*W1,IF(E10&lt;&gt;0,E10*W1,IF(E11&lt;&gt;0,E11*W1,0)))</f>
        <v>10000</v>
      </c>
      <c r="F8" s="200" t="s">
        <v>30</v>
      </c>
      <c r="G8" s="209">
        <f>IF(G9&lt;&gt;0,G9*X1,IF(G10&lt;&gt;0,G10*X1,IF(G11&lt;&gt;0,G11*X1,0)))</f>
        <v>28000</v>
      </c>
      <c r="H8" s="200" t="s">
        <v>30</v>
      </c>
      <c r="I8" s="207">
        <f>C8*K8</f>
        <v>-9.2399999999999984</v>
      </c>
      <c r="J8" s="210">
        <f>I8/C8</f>
        <v>-2.8</v>
      </c>
      <c r="K8" s="211">
        <f>-1*(G8/E8)</f>
        <v>-2.8</v>
      </c>
    </row>
    <row r="9" spans="3:24">
      <c r="E9" s="75"/>
      <c r="F9" s="200" t="s">
        <v>30</v>
      </c>
      <c r="G9" s="75"/>
      <c r="H9" s="200" t="s">
        <v>30</v>
      </c>
    </row>
    <row r="10" spans="3:24">
      <c r="E10" s="204">
        <v>10</v>
      </c>
      <c r="F10" s="200" t="s">
        <v>32</v>
      </c>
      <c r="G10" s="204">
        <v>28</v>
      </c>
      <c r="H10" s="200" t="s">
        <v>32</v>
      </c>
    </row>
    <row r="11" spans="3:24">
      <c r="E11" s="205"/>
      <c r="F11" s="200" t="s">
        <v>33</v>
      </c>
      <c r="G11" s="205"/>
      <c r="H11" s="200" t="s">
        <v>33</v>
      </c>
    </row>
    <row r="14" spans="3:24">
      <c r="C14" s="206">
        <v>3.3</v>
      </c>
      <c r="E14" s="206">
        <v>10</v>
      </c>
      <c r="F14" s="200" t="s">
        <v>32</v>
      </c>
      <c r="G14" s="209">
        <f>-1*J14*E14</f>
        <v>27.272727272727273</v>
      </c>
      <c r="H14" s="200" t="s">
        <v>32</v>
      </c>
      <c r="I14" s="206">
        <v>-9</v>
      </c>
      <c r="J14" s="211">
        <f>I14/C14</f>
        <v>-2.7272727272727275</v>
      </c>
      <c r="K14" s="217">
        <f>G14/E14</f>
        <v>2.7272727272727275</v>
      </c>
    </row>
    <row r="15" spans="3:24">
      <c r="C15" s="206">
        <v>3.3</v>
      </c>
      <c r="E15" s="218">
        <f>-1*G15/J15</f>
        <v>10.266666666666666</v>
      </c>
      <c r="F15" s="200" t="s">
        <v>32</v>
      </c>
      <c r="G15" s="206">
        <v>28</v>
      </c>
      <c r="H15" s="200" t="s">
        <v>32</v>
      </c>
      <c r="I15" s="206">
        <v>-9</v>
      </c>
      <c r="J15" s="219">
        <f>I15/C15</f>
        <v>-2.7272727272727275</v>
      </c>
      <c r="K15" s="220">
        <f>G15/E15</f>
        <v>2.7272727272727275</v>
      </c>
    </row>
    <row r="19" spans="3:13">
      <c r="C19" s="307" t="s">
        <v>301</v>
      </c>
      <c r="D19" s="307"/>
      <c r="E19" s="307"/>
      <c r="F19" s="307"/>
      <c r="G19" s="307"/>
      <c r="H19" s="307"/>
      <c r="I19" s="307"/>
    </row>
    <row r="20" spans="3:13">
      <c r="C20" s="307"/>
      <c r="D20" s="307"/>
      <c r="E20" s="307"/>
      <c r="F20" s="307"/>
      <c r="G20" s="307"/>
      <c r="H20" s="307"/>
      <c r="I20" s="307"/>
    </row>
    <row r="21" spans="3:13" ht="23.5" thickBot="1">
      <c r="C21" s="228"/>
      <c r="D21" s="228"/>
      <c r="E21" s="228"/>
      <c r="F21" s="228"/>
      <c r="G21" s="228"/>
      <c r="H21" s="228"/>
      <c r="I21" s="228"/>
    </row>
    <row r="22" spans="3:13" ht="15" thickBot="1">
      <c r="C22" s="201" t="s">
        <v>25</v>
      </c>
      <c r="D22" s="202"/>
      <c r="E22" s="202" t="s">
        <v>303</v>
      </c>
      <c r="F22" s="202"/>
      <c r="G22" s="202" t="s">
        <v>302</v>
      </c>
      <c r="H22" s="202"/>
      <c r="I22" s="202" t="s">
        <v>27</v>
      </c>
      <c r="J22" s="202" t="s">
        <v>28</v>
      </c>
      <c r="K22" s="202" t="s">
        <v>29</v>
      </c>
      <c r="L22" s="202"/>
      <c r="M22" s="203" t="s">
        <v>24</v>
      </c>
    </row>
    <row r="24" spans="3:13">
      <c r="C24" s="206">
        <v>3.3</v>
      </c>
      <c r="E24" s="212">
        <f>IF(E25&lt;&gt;0,E25,IF(E26&lt;&gt;0,E26*1000,IF(E27&lt;&gt;0,E27*1000000,0)))</f>
        <v>13000</v>
      </c>
      <c r="F24" s="200" t="s">
        <v>30</v>
      </c>
      <c r="G24" s="213">
        <f>IF(G25&lt;&gt;0,G25,IF(G26&lt;&gt;0,G26*1000,IF(G27&lt;&gt;0,G27*1000000,0)))</f>
        <v>22000</v>
      </c>
      <c r="H24" s="200" t="s">
        <v>30</v>
      </c>
      <c r="I24" s="214">
        <f>C24*K24</f>
        <v>8.884615384615385</v>
      </c>
      <c r="J24" s="215">
        <f>I24/C24</f>
        <v>2.6923076923076925</v>
      </c>
      <c r="K24" s="216">
        <f>1+(G24/E24)</f>
        <v>2.6923076923076925</v>
      </c>
    </row>
    <row r="25" spans="3:13">
      <c r="E25" s="75"/>
      <c r="F25" s="200" t="s">
        <v>30</v>
      </c>
      <c r="G25" s="75"/>
      <c r="H25" s="200" t="s">
        <v>30</v>
      </c>
    </row>
    <row r="26" spans="3:13">
      <c r="E26" s="204">
        <v>13</v>
      </c>
      <c r="F26" s="200" t="s">
        <v>32</v>
      </c>
      <c r="G26" s="204">
        <v>22</v>
      </c>
      <c r="H26" s="200" t="s">
        <v>32</v>
      </c>
    </row>
    <row r="27" spans="3:13">
      <c r="E27" s="205"/>
      <c r="F27" s="200" t="s">
        <v>33</v>
      </c>
      <c r="G27" s="205"/>
      <c r="H27" s="200" t="s">
        <v>33</v>
      </c>
    </row>
    <row r="30" spans="3:13">
      <c r="C30" s="206">
        <v>3.3</v>
      </c>
      <c r="E30" s="206">
        <v>13</v>
      </c>
      <c r="F30" s="200" t="s">
        <v>32</v>
      </c>
      <c r="G30" s="222">
        <f>E30*(J30-1)</f>
        <v>21.469696969696972</v>
      </c>
      <c r="H30" s="200" t="s">
        <v>32</v>
      </c>
      <c r="I30" s="206">
        <v>8.75</v>
      </c>
      <c r="J30" s="223">
        <f>I30/C30</f>
        <v>2.6515151515151518</v>
      </c>
      <c r="K30" s="225">
        <f>1+G30/E30</f>
        <v>2.6515151515151518</v>
      </c>
    </row>
    <row r="31" spans="3:13">
      <c r="C31" s="206">
        <v>3.3</v>
      </c>
      <c r="E31" s="221">
        <f>G31/(J31-1)</f>
        <v>6.0550458715596323</v>
      </c>
      <c r="F31" s="200" t="s">
        <v>32</v>
      </c>
      <c r="G31" s="206">
        <v>10</v>
      </c>
      <c r="H31" s="200" t="s">
        <v>32</v>
      </c>
      <c r="I31" s="206">
        <v>8.75</v>
      </c>
      <c r="J31" s="224">
        <f>I31/C31</f>
        <v>2.6515151515151518</v>
      </c>
      <c r="K31" s="226">
        <f>1+G31/E31</f>
        <v>2.6515151515151518</v>
      </c>
    </row>
  </sheetData>
  <mergeCells count="2">
    <mergeCell ref="C3:I4"/>
    <mergeCell ref="C19:I20"/>
  </mergeCell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788F92-3ABC-4059-9393-A2054F894312}">
  <sheetPr codeName="Sheet12">
    <tabColor rgb="FFC1FE16"/>
  </sheetPr>
  <dimension ref="B1:AD59"/>
  <sheetViews>
    <sheetView tabSelected="1" workbookViewId="0">
      <selection activeCell="C9" sqref="C9"/>
    </sheetView>
  </sheetViews>
  <sheetFormatPr defaultColWidth="8.58203125" defaultRowHeight="14.5"/>
  <cols>
    <col min="1" max="2" width="8.58203125" style="200"/>
    <col min="3" max="3" width="4.75" style="200" bestFit="1" customWidth="1"/>
    <col min="4" max="4" width="8.58203125" style="200"/>
    <col min="5" max="5" width="3.75" style="200" customWidth="1"/>
    <col min="6" max="6" width="8.58203125" style="200" customWidth="1"/>
    <col min="7" max="7" width="8.08203125" style="200" customWidth="1"/>
    <col min="8" max="8" width="4.83203125" style="200" customWidth="1"/>
    <col min="9" max="9" width="7.33203125" style="200" customWidth="1"/>
    <col min="10" max="11" width="5.08203125" style="200" customWidth="1"/>
    <col min="12" max="12" width="15.83203125" style="200" bestFit="1" customWidth="1"/>
    <col min="13" max="13" width="4.33203125" style="200" customWidth="1"/>
    <col min="14" max="14" width="8.08203125" style="200" customWidth="1"/>
    <col min="15" max="15" width="8.58203125" style="200"/>
    <col min="16" max="16" width="3.08203125" style="200" customWidth="1"/>
    <col min="17" max="17" width="6.5" style="200" customWidth="1"/>
    <col min="18" max="18" width="6.9140625" style="200" customWidth="1"/>
    <col min="19" max="16384" width="8.58203125" style="200"/>
  </cols>
  <sheetData>
    <row r="1" spans="2:30">
      <c r="W1" s="127"/>
      <c r="X1" s="127"/>
      <c r="Y1" s="127"/>
    </row>
    <row r="2" spans="2:30">
      <c r="X2" s="127"/>
      <c r="Y2" s="127"/>
    </row>
    <row r="3" spans="2:30" ht="14.5" customHeight="1">
      <c r="B3" s="229"/>
      <c r="C3" s="232"/>
      <c r="D3" s="232"/>
      <c r="E3" s="232"/>
      <c r="F3" s="232"/>
      <c r="G3" s="232"/>
      <c r="H3" s="232"/>
      <c r="I3" s="232"/>
      <c r="J3" s="229"/>
      <c r="K3" s="229"/>
      <c r="L3" s="229"/>
      <c r="M3" s="229"/>
      <c r="N3" s="229"/>
      <c r="O3" s="229"/>
      <c r="X3" s="127"/>
      <c r="Y3" s="127"/>
      <c r="AD3" s="227" t="s">
        <v>319</v>
      </c>
    </row>
    <row r="4" spans="2:30" ht="14.5" customHeight="1" thickBot="1">
      <c r="B4" s="229"/>
      <c r="C4" s="232"/>
      <c r="D4" s="232"/>
      <c r="E4" s="232"/>
      <c r="F4" s="232"/>
      <c r="G4" s="232"/>
      <c r="H4" s="232"/>
      <c r="I4" s="232"/>
      <c r="J4" s="229"/>
      <c r="K4" s="229"/>
      <c r="L4" s="229"/>
      <c r="M4" s="229"/>
      <c r="N4" s="229"/>
      <c r="O4" s="229"/>
      <c r="X4" s="127"/>
      <c r="Y4" s="127"/>
      <c r="AD4" s="227"/>
    </row>
    <row r="5" spans="2:30" ht="15" customHeight="1" thickBot="1">
      <c r="B5" s="229"/>
      <c r="C5" s="231"/>
      <c r="D5" s="231"/>
      <c r="E5" s="294">
        <v>1</v>
      </c>
      <c r="F5" s="296" t="s">
        <v>328</v>
      </c>
      <c r="G5" s="308" t="s">
        <v>325</v>
      </c>
      <c r="H5" s="309"/>
      <c r="I5" s="229"/>
      <c r="J5" s="298"/>
      <c r="K5" s="298"/>
      <c r="L5" s="229"/>
      <c r="M5" s="294">
        <f>J6</f>
        <v>0</v>
      </c>
      <c r="N5" s="296" t="s">
        <v>328</v>
      </c>
      <c r="O5" s="308" t="s">
        <v>325</v>
      </c>
      <c r="P5" s="309"/>
      <c r="Q5" s="229"/>
      <c r="R5" s="298"/>
      <c r="X5" s="227"/>
      <c r="Y5" s="227"/>
      <c r="AD5" s="200" t="s">
        <v>320</v>
      </c>
    </row>
    <row r="6" spans="2:30" ht="15" thickBot="1">
      <c r="B6" s="229"/>
      <c r="C6" s="229"/>
      <c r="D6" s="229"/>
      <c r="E6" s="297"/>
      <c r="F6" s="229"/>
      <c r="G6" s="310"/>
      <c r="H6" s="311"/>
      <c r="I6" s="296" t="s">
        <v>330</v>
      </c>
      <c r="J6" s="299">
        <f>IF(G5="AND",IF(AND(E5=1,E7=1),1,0),IF(G5="OR",IF(OR(E5=1,E7=1),1,0),IF(G5="XOR",IF(OR(AND(E5=1,E7=0),AND(E5=0,E7=1)),1,0),IF(G5="NAND",IF(AND(E5=1,E7=1),0,1),IF(G5="NOR",IF(OR(E5=1,E7=1),0,1),IF(G5="NXOR",IF(OR(AND(E5=1,E7=0),AND(E5=0,E7=1)),0,1),"F"))))))</f>
        <v>0</v>
      </c>
      <c r="K6" s="295"/>
      <c r="L6" s="229"/>
      <c r="M6" s="297"/>
      <c r="N6" s="229"/>
      <c r="O6" s="310"/>
      <c r="P6" s="311"/>
      <c r="Q6" s="296" t="s">
        <v>330</v>
      </c>
      <c r="R6" s="299">
        <f>IF(O5="AND",IF(AND(M5=1,M7=1),1,0),IF(O5="OR",IF(OR(M5=1,M7=1),1,0),IF(O5="XOR",IF(OR(AND(M5=1,M7=0),AND(M5=0,M7=1)),1,0),IF(O5="NAND",IF(AND(M5=1,M7=1),0,1),IF(O5="NOR",IF(OR(M5=1,M7=1),0,1),IF(O5="NXOR",IF(OR(AND(M5=1,M7=0),AND(M5=0,M7=1)),0,1),"F"))))))</f>
        <v>1</v>
      </c>
      <c r="AD6" s="200" t="s">
        <v>323</v>
      </c>
    </row>
    <row r="7" spans="2:30" ht="15" thickBot="1">
      <c r="B7" s="229"/>
      <c r="C7" s="229"/>
      <c r="D7" s="229"/>
      <c r="E7" s="294">
        <v>1</v>
      </c>
      <c r="F7" s="296" t="s">
        <v>329</v>
      </c>
      <c r="G7" s="312"/>
      <c r="H7" s="313"/>
      <c r="I7" s="229"/>
      <c r="J7" s="229"/>
      <c r="K7" s="229"/>
      <c r="L7" s="229"/>
      <c r="M7" s="294"/>
      <c r="N7" s="296" t="s">
        <v>329</v>
      </c>
      <c r="O7" s="312"/>
      <c r="P7" s="313"/>
      <c r="Q7" s="229"/>
      <c r="R7" s="229"/>
      <c r="AD7" s="200" t="s">
        <v>321</v>
      </c>
    </row>
    <row r="8" spans="2:30">
      <c r="B8" s="229"/>
      <c r="C8" s="229"/>
      <c r="D8" s="229"/>
      <c r="E8" s="230"/>
      <c r="F8" s="229"/>
      <c r="G8" s="230"/>
      <c r="H8" s="229"/>
      <c r="I8" s="230"/>
      <c r="J8" s="230"/>
      <c r="K8" s="230"/>
      <c r="L8" s="230"/>
      <c r="M8" s="230"/>
      <c r="N8" s="229"/>
      <c r="O8" s="230"/>
      <c r="P8" s="229"/>
      <c r="Q8" s="230"/>
      <c r="R8" s="230"/>
      <c r="AD8" s="200" t="s">
        <v>322</v>
      </c>
    </row>
    <row r="9" spans="2:30">
      <c r="B9" s="229"/>
      <c r="C9" s="229"/>
      <c r="D9" s="229"/>
      <c r="E9" s="229"/>
      <c r="F9" s="229"/>
      <c r="G9" s="229"/>
      <c r="H9" s="229"/>
      <c r="I9" s="229"/>
      <c r="J9" s="229"/>
      <c r="K9" s="229"/>
      <c r="L9" s="229"/>
      <c r="M9" s="229"/>
      <c r="N9" s="229"/>
      <c r="O9" s="229"/>
      <c r="P9" s="229"/>
      <c r="Q9" s="229"/>
      <c r="R9" s="229"/>
      <c r="AD9" s="200" t="s">
        <v>324</v>
      </c>
    </row>
    <row r="10" spans="2:30" ht="15" thickBot="1">
      <c r="B10" s="229"/>
      <c r="C10" s="229"/>
      <c r="D10" s="229"/>
      <c r="L10" s="229"/>
      <c r="AD10" s="200" t="s">
        <v>325</v>
      </c>
    </row>
    <row r="11" spans="2:30" ht="15" thickBot="1">
      <c r="B11" s="229"/>
      <c r="C11" s="229"/>
      <c r="D11" s="229"/>
      <c r="E11" s="294">
        <f>J6</f>
        <v>0</v>
      </c>
      <c r="F11" s="296" t="s">
        <v>328</v>
      </c>
      <c r="G11" s="308" t="s">
        <v>325</v>
      </c>
      <c r="H11" s="309"/>
      <c r="I11" s="229"/>
      <c r="J11" s="298"/>
      <c r="K11" s="298"/>
      <c r="L11" s="229"/>
      <c r="M11" s="294">
        <f>R6</f>
        <v>1</v>
      </c>
      <c r="N11" s="296" t="s">
        <v>328</v>
      </c>
      <c r="O11" s="308" t="s">
        <v>325</v>
      </c>
      <c r="P11" s="309"/>
      <c r="Q11" s="229"/>
      <c r="R11" s="298"/>
      <c r="AD11" s="200" t="s">
        <v>326</v>
      </c>
    </row>
    <row r="12" spans="2:30" ht="15" thickBot="1">
      <c r="B12" s="229"/>
      <c r="C12" s="229"/>
      <c r="D12" s="229"/>
      <c r="E12" s="297"/>
      <c r="F12" s="229"/>
      <c r="G12" s="310"/>
      <c r="H12" s="311"/>
      <c r="I12" s="296" t="s">
        <v>330</v>
      </c>
      <c r="J12" s="299">
        <f>IF(G11="AND",IF(AND(E11=1,E13=1),1,0),IF(G11="OR",IF(OR(E11=1,E13=1),1,0),IF(G11="XOR",IF(OR(AND(E11=1,E13=0),AND(E11=0,E13=1)),1,0),IF(G11="NAND",IF(AND(E11=1,E13=1),0,1),IF(G11="NOR",IF(OR(E11=1,E13=1),0,1),IF(G11="NXOR",IF(OR(AND(E11=1,E13=0),AND(E11=0,E13=1)),0,1),"F"))))))</f>
        <v>1</v>
      </c>
      <c r="K12" s="295"/>
      <c r="L12" s="229"/>
      <c r="M12" s="297"/>
      <c r="N12" s="229"/>
      <c r="O12" s="310"/>
      <c r="P12" s="311"/>
      <c r="Q12" s="296" t="s">
        <v>330</v>
      </c>
      <c r="R12" s="299">
        <f>IF(O11="AND",IF(AND(M11=1,M13=1),1,0),IF(O11="OR",IF(OR(M11=1,M13=1),1,0),IF(O11="XOR",IF(OR(AND(M11=1,M13=0),AND(M11=0,M13=1)),1,0),IF(O11="NAND",IF(AND(M11=1,M13=1),0,1),IF(O11="NOR",IF(OR(M11=1,M13=1),0,1),IF(O11="NXOR",IF(OR(AND(M11=1,M13=0),AND(M11=0,M13=1)),0,1),"F"))))))</f>
        <v>1</v>
      </c>
      <c r="AD12" s="200" t="s">
        <v>327</v>
      </c>
    </row>
    <row r="13" spans="2:30" ht="15" thickBot="1">
      <c r="B13" s="229"/>
      <c r="C13" s="229"/>
      <c r="D13" s="229"/>
      <c r="E13" s="294">
        <v>1</v>
      </c>
      <c r="F13" s="296" t="s">
        <v>329</v>
      </c>
      <c r="G13" s="312"/>
      <c r="H13" s="313"/>
      <c r="I13" s="229"/>
      <c r="J13" s="229"/>
      <c r="K13" s="229"/>
      <c r="L13" s="229"/>
      <c r="M13" s="294">
        <v>0</v>
      </c>
      <c r="N13" s="296" t="s">
        <v>329</v>
      </c>
      <c r="O13" s="312"/>
      <c r="P13" s="313"/>
      <c r="Q13" s="229"/>
      <c r="R13" s="229"/>
    </row>
    <row r="14" spans="2:30">
      <c r="B14" s="229"/>
      <c r="C14" s="229"/>
      <c r="D14" s="229"/>
      <c r="E14" s="229"/>
      <c r="F14" s="229"/>
      <c r="G14" s="230"/>
      <c r="H14" s="229"/>
      <c r="I14" s="229"/>
      <c r="J14" s="230"/>
      <c r="K14" s="230"/>
      <c r="L14" s="230"/>
      <c r="M14" s="229"/>
      <c r="N14" s="229"/>
      <c r="O14" s="230"/>
      <c r="P14" s="229"/>
      <c r="Q14" s="229"/>
      <c r="R14" s="230"/>
    </row>
    <row r="15" spans="2:30">
      <c r="B15" s="229"/>
      <c r="C15" s="229"/>
      <c r="D15" s="229"/>
      <c r="E15" s="230"/>
      <c r="F15" s="229"/>
      <c r="G15" s="229"/>
      <c r="H15" s="229"/>
      <c r="I15" s="229"/>
      <c r="J15" s="230"/>
      <c r="K15" s="230"/>
      <c r="L15" s="230"/>
      <c r="M15" s="230"/>
      <c r="N15" s="229"/>
      <c r="O15" s="229"/>
      <c r="P15" s="229"/>
      <c r="Q15" s="229"/>
      <c r="R15" s="230"/>
    </row>
    <row r="16" spans="2:30" ht="15" thickBot="1">
      <c r="B16" s="229"/>
      <c r="C16" s="229"/>
      <c r="D16" s="229"/>
      <c r="E16" s="229"/>
      <c r="F16" s="229"/>
      <c r="G16" s="229"/>
      <c r="H16" s="229"/>
      <c r="I16" s="229"/>
      <c r="J16" s="229"/>
      <c r="K16" s="229"/>
      <c r="L16" s="229"/>
      <c r="M16" s="229"/>
      <c r="N16" s="229"/>
      <c r="O16" s="229"/>
      <c r="P16" s="229"/>
      <c r="Q16" s="229"/>
      <c r="R16" s="229"/>
    </row>
    <row r="17" spans="2:18" ht="15" thickBot="1">
      <c r="B17" s="229"/>
      <c r="C17" s="229"/>
      <c r="D17" s="229"/>
      <c r="E17" s="294">
        <v>1</v>
      </c>
      <c r="F17" s="296" t="s">
        <v>328</v>
      </c>
      <c r="G17" s="308" t="s">
        <v>325</v>
      </c>
      <c r="H17" s="309"/>
      <c r="I17" s="229"/>
      <c r="J17" s="298"/>
      <c r="K17" s="298"/>
      <c r="L17" s="229"/>
      <c r="M17" s="294">
        <v>0</v>
      </c>
      <c r="N17" s="296" t="s">
        <v>328</v>
      </c>
      <c r="O17" s="308" t="s">
        <v>325</v>
      </c>
      <c r="P17" s="309"/>
      <c r="Q17" s="229"/>
      <c r="R17" s="298"/>
    </row>
    <row r="18" spans="2:18" ht="15" thickBot="1">
      <c r="B18" s="229"/>
      <c r="C18" s="229"/>
      <c r="D18" s="229"/>
      <c r="E18" s="297"/>
      <c r="F18" s="229"/>
      <c r="G18" s="310"/>
      <c r="H18" s="311"/>
      <c r="I18" s="296" t="s">
        <v>330</v>
      </c>
      <c r="J18" s="299">
        <f>IF(G17="AND",IF(AND(E17=1,E19=1),1,0),IF(G17="OR",IF(OR(E17=1,E19=1),1,0),IF(G17="XOR",IF(OR(AND(E17=1,E19=0),AND(E17=0,E19=1)),1,0),IF(G17="NAND",IF(AND(E17=1,E19=1),0,1),IF(G17="NOR",IF(OR(E17=1,E19=1),0,1),IF(G17="NXOR",IF(OR(AND(E17=1,E19=0),AND(E17=0,E19=1)),0,1),"F"))))))</f>
        <v>0</v>
      </c>
      <c r="K18" s="295"/>
      <c r="L18" s="229"/>
      <c r="M18" s="297"/>
      <c r="N18" s="229"/>
      <c r="O18" s="310"/>
      <c r="P18" s="311"/>
      <c r="Q18" s="296" t="s">
        <v>330</v>
      </c>
      <c r="R18" s="299">
        <f>IF(O17="AND",IF(AND(M17=1,M19=1),1,0),IF(O17="OR",IF(OR(M17=1,M19=1),1,0),IF(O17="XOR",IF(OR(AND(M17=1,M19=0),AND(M17=0,M19=1)),1,0),IF(O17="NAND",IF(AND(M17=1,M19=1),0,1),IF(O17="NOR",IF(OR(M17=1,M19=1),0,1),IF(O17="NXOR",IF(OR(AND(M17=1,M19=0),AND(M17=0,M19=1)),0,1),"F"))))))</f>
        <v>1</v>
      </c>
    </row>
    <row r="19" spans="2:18" ht="14.5" customHeight="1" thickBot="1">
      <c r="B19" s="229"/>
      <c r="C19" s="232"/>
      <c r="D19" s="229"/>
      <c r="E19" s="294">
        <v>1</v>
      </c>
      <c r="F19" s="296" t="s">
        <v>329</v>
      </c>
      <c r="G19" s="312"/>
      <c r="H19" s="313"/>
      <c r="I19" s="229"/>
      <c r="J19" s="229"/>
      <c r="K19" s="229"/>
      <c r="L19" s="229"/>
      <c r="M19" s="294">
        <v>0</v>
      </c>
      <c r="N19" s="296" t="s">
        <v>329</v>
      </c>
      <c r="O19" s="312"/>
      <c r="P19" s="313"/>
      <c r="Q19" s="229"/>
      <c r="R19" s="229"/>
    </row>
    <row r="20" spans="2:18" ht="14.5" customHeight="1">
      <c r="B20" s="229"/>
      <c r="C20" s="232"/>
      <c r="D20" s="232"/>
      <c r="E20" s="230"/>
      <c r="F20" s="229"/>
      <c r="G20" s="230"/>
      <c r="H20" s="229"/>
      <c r="I20" s="230"/>
      <c r="J20" s="230"/>
      <c r="K20" s="230"/>
      <c r="L20" s="229"/>
      <c r="M20" s="230"/>
      <c r="N20" s="229"/>
      <c r="O20" s="230"/>
      <c r="P20" s="229"/>
      <c r="Q20" s="230"/>
      <c r="R20" s="230"/>
    </row>
    <row r="21" spans="2:18" ht="18.5" customHeight="1">
      <c r="B21" s="229"/>
      <c r="C21" s="231"/>
      <c r="D21" s="231"/>
      <c r="E21" s="229"/>
      <c r="F21" s="229"/>
      <c r="G21" s="229"/>
      <c r="H21" s="229"/>
      <c r="I21" s="229"/>
      <c r="J21" s="229"/>
      <c r="K21" s="229"/>
      <c r="L21" s="229"/>
      <c r="M21" s="229"/>
      <c r="N21" s="229"/>
      <c r="O21" s="229"/>
      <c r="P21" s="229"/>
      <c r="Q21" s="229"/>
      <c r="R21" s="229"/>
    </row>
    <row r="22" spans="2:18" ht="15" thickBot="1">
      <c r="B22" s="229"/>
      <c r="C22" s="229"/>
      <c r="D22" s="229"/>
      <c r="L22" s="229"/>
    </row>
    <row r="23" spans="2:18" ht="15" thickBot="1">
      <c r="B23" s="229"/>
      <c r="C23" s="229"/>
      <c r="D23" s="229"/>
      <c r="E23" s="294">
        <v>0</v>
      </c>
      <c r="F23" s="296" t="s">
        <v>328</v>
      </c>
      <c r="G23" s="308" t="s">
        <v>325</v>
      </c>
      <c r="H23" s="309"/>
      <c r="I23" s="229"/>
      <c r="J23" s="298"/>
      <c r="K23" s="298"/>
      <c r="L23" s="229"/>
      <c r="M23" s="294">
        <v>0</v>
      </c>
      <c r="N23" s="296" t="s">
        <v>328</v>
      </c>
      <c r="O23" s="308" t="s">
        <v>325</v>
      </c>
      <c r="P23" s="309"/>
      <c r="Q23" s="229"/>
      <c r="R23" s="298"/>
    </row>
    <row r="24" spans="2:18" ht="15" thickBot="1">
      <c r="B24" s="229"/>
      <c r="C24" s="229"/>
      <c r="D24" s="229"/>
      <c r="E24" s="297"/>
      <c r="F24" s="229"/>
      <c r="G24" s="310"/>
      <c r="H24" s="311"/>
      <c r="I24" s="296" t="s">
        <v>330</v>
      </c>
      <c r="J24" s="299">
        <f>IF(G23="AND",IF(AND(E23=1,E25=1),1,0),IF(G23="OR",IF(OR(E23=1,E25=1),1,0),IF(G23="XOR",IF(OR(AND(E23=1,E25=0),AND(E23=0,E25=1)),1,0),IF(G23="NAND",IF(AND(E23=1,E25=1),0,1),IF(G23="NOR",IF(OR(E23=1,E25=1),0,1),IF(G23="NXOR",IF(OR(AND(E23=1,E25=0),AND(E23=0,E25=1)),0,1),"F"))))))</f>
        <v>1</v>
      </c>
      <c r="K24" s="295"/>
      <c r="L24" s="230"/>
      <c r="M24" s="297"/>
      <c r="N24" s="229"/>
      <c r="O24" s="310"/>
      <c r="P24" s="311"/>
      <c r="Q24" s="296" t="s">
        <v>330</v>
      </c>
      <c r="R24" s="299">
        <f>IF(O23="AND",IF(AND(M23=1,M25=1),1,0),IF(O23="OR",IF(OR(M23=1,M25=1),1,0),IF(O23="XOR",IF(OR(AND(M23=1,M25=0),AND(M23=0,M25=1)),1,0),IF(O23="NAND",IF(AND(M23=1,M25=1),0,1),IF(O23="NOR",IF(OR(M23=1,M25=1),0,1),IF(O23="NXOR",IF(OR(AND(M23=1,M25=0),AND(M23=0,M25=1)),0,1),"F"))))))</f>
        <v>1</v>
      </c>
    </row>
    <row r="25" spans="2:18" ht="15.5" customHeight="1" thickBot="1">
      <c r="B25" s="229"/>
      <c r="C25" s="232"/>
      <c r="D25" s="229"/>
      <c r="E25" s="294">
        <v>0</v>
      </c>
      <c r="F25" s="296" t="s">
        <v>329</v>
      </c>
      <c r="G25" s="312"/>
      <c r="H25" s="313"/>
      <c r="I25" s="229"/>
      <c r="J25" s="229"/>
      <c r="K25" s="229"/>
      <c r="L25" s="230"/>
      <c r="M25" s="294">
        <v>0</v>
      </c>
      <c r="N25" s="296" t="s">
        <v>329</v>
      </c>
      <c r="O25" s="312"/>
      <c r="P25" s="313"/>
      <c r="Q25" s="229"/>
      <c r="R25" s="229"/>
    </row>
    <row r="26" spans="2:18">
      <c r="B26" s="229"/>
      <c r="C26" s="229"/>
      <c r="D26" s="229"/>
      <c r="E26" s="229"/>
      <c r="F26" s="229"/>
      <c r="G26" s="229"/>
      <c r="H26" s="229"/>
      <c r="I26" s="229"/>
      <c r="J26" s="229"/>
      <c r="K26" s="229"/>
      <c r="L26" s="229"/>
      <c r="M26" s="229"/>
      <c r="N26" s="229"/>
      <c r="O26" s="229"/>
      <c r="P26" s="229"/>
      <c r="Q26" s="229"/>
      <c r="R26" s="229"/>
    </row>
    <row r="27" spans="2:18">
      <c r="B27" s="229"/>
      <c r="C27" s="229"/>
      <c r="D27" s="229"/>
      <c r="E27" s="229"/>
      <c r="F27" s="229"/>
      <c r="G27" s="229"/>
      <c r="H27" s="229"/>
      <c r="I27" s="229"/>
      <c r="J27" s="229"/>
      <c r="K27" s="229"/>
      <c r="L27" s="229"/>
      <c r="M27" s="229"/>
      <c r="N27" s="229"/>
      <c r="O27" s="229"/>
      <c r="P27" s="229"/>
      <c r="Q27" s="229"/>
      <c r="R27" s="229"/>
    </row>
    <row r="28" spans="2:18" ht="15" thickBot="1">
      <c r="B28" s="229"/>
      <c r="C28" s="229"/>
      <c r="D28" s="229"/>
      <c r="E28" s="229"/>
      <c r="F28" s="229"/>
      <c r="G28" s="229"/>
      <c r="H28" s="229"/>
      <c r="I28" s="229"/>
      <c r="J28" s="229"/>
      <c r="K28" s="229"/>
      <c r="L28" s="229"/>
      <c r="M28" s="229"/>
      <c r="N28" s="229"/>
      <c r="O28" s="229"/>
      <c r="P28" s="229"/>
      <c r="Q28" s="229"/>
      <c r="R28" s="229"/>
    </row>
    <row r="29" spans="2:18" ht="15" thickBot="1">
      <c r="B29" s="229"/>
      <c r="C29" s="229"/>
      <c r="D29" s="229"/>
      <c r="E29" s="294">
        <v>0</v>
      </c>
      <c r="F29" s="296" t="s">
        <v>328</v>
      </c>
      <c r="G29" s="308" t="s">
        <v>325</v>
      </c>
      <c r="H29" s="309"/>
      <c r="I29" s="229"/>
      <c r="J29" s="298"/>
      <c r="K29" s="298"/>
      <c r="L29" s="229"/>
      <c r="M29" s="294">
        <v>0</v>
      </c>
      <c r="N29" s="296" t="s">
        <v>328</v>
      </c>
      <c r="O29" s="308" t="s">
        <v>325</v>
      </c>
      <c r="P29" s="309"/>
      <c r="Q29" s="229"/>
      <c r="R29" s="298"/>
    </row>
    <row r="30" spans="2:18" ht="16.5" customHeight="1" thickBot="1">
      <c r="B30" s="229"/>
      <c r="C30" s="232"/>
      <c r="D30" s="229"/>
      <c r="E30" s="297"/>
      <c r="F30" s="229"/>
      <c r="G30" s="310"/>
      <c r="H30" s="311"/>
      <c r="I30" s="296" t="s">
        <v>330</v>
      </c>
      <c r="J30" s="299">
        <f>IF(G29="AND",IF(AND(E29=1,E31=1),1,0),IF(G29="OR",IF(OR(E29=1,E31=1),1,0),IF(G29="XOR",IF(OR(AND(E29=1,E31=0),AND(E29=0,E31=1)),1,0),IF(G29="NAND",IF(AND(E29=1,E31=1),0,1),IF(G29="NOR",IF(OR(E29=1,E31=1),0,1),IF(G29="NXOR",IF(OR(AND(E29=1,E31=0),AND(E29=0,E31=1)),0,1),"F"))))))</f>
        <v>1</v>
      </c>
      <c r="K30" s="295"/>
      <c r="L30" s="229"/>
      <c r="M30" s="297"/>
      <c r="N30" s="229"/>
      <c r="O30" s="310"/>
      <c r="P30" s="311"/>
      <c r="Q30" s="296" t="s">
        <v>330</v>
      </c>
      <c r="R30" s="299">
        <f>IF(O29="AND",IF(AND(M29=1,M31=1),1,0),IF(O29="OR",IF(OR(M29=1,M31=1),1,0),IF(O29="XOR",IF(OR(AND(M29=1,M31=0),AND(M29=0,M31=1)),1,0),IF(O29="NAND",IF(AND(M29=1,M31=1),0,1),IF(O29="NOR",IF(OR(M29=1,M31=1),0,1),IF(O29="NXOR",IF(OR(AND(M29=1,M31=0),AND(M29=0,M31=1)),0,1),"F"))))))</f>
        <v>1</v>
      </c>
    </row>
    <row r="31" spans="2:18" ht="15" thickBot="1">
      <c r="B31" s="229"/>
      <c r="C31" s="229"/>
      <c r="D31" s="229"/>
      <c r="E31" s="294">
        <v>0</v>
      </c>
      <c r="F31" s="296" t="s">
        <v>329</v>
      </c>
      <c r="G31" s="312"/>
      <c r="H31" s="313"/>
      <c r="I31" s="229"/>
      <c r="J31" s="229"/>
      <c r="K31" s="229"/>
      <c r="L31" s="229"/>
      <c r="M31" s="294">
        <v>0</v>
      </c>
      <c r="N31" s="296" t="s">
        <v>329</v>
      </c>
      <c r="O31" s="312"/>
      <c r="P31" s="313"/>
      <c r="Q31" s="229"/>
      <c r="R31" s="229"/>
    </row>
    <row r="32" spans="2:18">
      <c r="B32" s="229"/>
      <c r="C32" s="229"/>
      <c r="D32" s="229"/>
      <c r="E32" s="229"/>
      <c r="F32" s="229"/>
      <c r="G32" s="230"/>
      <c r="H32" s="229"/>
      <c r="I32" s="229"/>
      <c r="J32" s="230"/>
      <c r="K32" s="230"/>
      <c r="L32" s="230"/>
      <c r="M32" s="229"/>
      <c r="N32" s="229"/>
      <c r="O32" s="229"/>
    </row>
    <row r="33" spans="2:15">
      <c r="B33" s="229"/>
      <c r="C33" s="229"/>
      <c r="D33" s="229"/>
      <c r="E33" s="230"/>
      <c r="F33" s="229"/>
      <c r="G33" s="229"/>
      <c r="H33" s="229"/>
      <c r="I33" s="229"/>
      <c r="J33" s="230"/>
      <c r="K33" s="230"/>
      <c r="L33" s="230"/>
      <c r="M33" s="229"/>
      <c r="N33" s="229"/>
      <c r="O33" s="229"/>
    </row>
    <row r="34" spans="2:15">
      <c r="B34" s="229"/>
      <c r="C34" s="229"/>
      <c r="D34" s="229"/>
      <c r="E34" s="229"/>
      <c r="F34" s="229"/>
      <c r="G34" s="229"/>
      <c r="H34" s="229"/>
      <c r="I34" s="229"/>
      <c r="J34" s="229"/>
      <c r="K34" s="229"/>
      <c r="L34" s="229"/>
      <c r="M34" s="229"/>
      <c r="N34" s="229"/>
      <c r="O34" s="229"/>
    </row>
    <row r="35" spans="2:15">
      <c r="B35" s="229"/>
      <c r="C35" s="229"/>
      <c r="D35" s="229"/>
      <c r="E35" s="229"/>
      <c r="F35" s="229"/>
      <c r="G35" s="229"/>
      <c r="H35" s="229"/>
      <c r="I35" s="229"/>
      <c r="J35" s="229"/>
      <c r="K35" s="229"/>
      <c r="L35" s="229"/>
      <c r="M35" s="229"/>
      <c r="N35" s="229"/>
      <c r="O35" s="229"/>
    </row>
    <row r="36" spans="2:15" ht="16" customHeight="1">
      <c r="B36" s="229"/>
      <c r="C36" s="232"/>
      <c r="D36" s="229"/>
      <c r="E36" s="229"/>
      <c r="F36" s="229"/>
      <c r="G36" s="229"/>
      <c r="H36" s="229"/>
      <c r="I36" s="229"/>
      <c r="J36" s="229"/>
      <c r="K36" s="229"/>
      <c r="L36" s="229"/>
      <c r="M36" s="229"/>
      <c r="N36" s="229"/>
      <c r="O36" s="229"/>
    </row>
    <row r="37" spans="2:15">
      <c r="B37" s="229"/>
      <c r="C37" s="229"/>
      <c r="D37" s="229"/>
      <c r="E37" s="229"/>
      <c r="F37" s="229"/>
      <c r="G37" s="229"/>
      <c r="H37" s="229"/>
      <c r="I37" s="229"/>
      <c r="J37" s="229"/>
      <c r="K37" s="229"/>
      <c r="L37" s="229"/>
      <c r="M37" s="229"/>
      <c r="N37" s="229"/>
      <c r="O37" s="229"/>
    </row>
    <row r="38" spans="2:15">
      <c r="B38" s="229"/>
      <c r="C38" s="229"/>
      <c r="D38" s="229"/>
    </row>
    <row r="39" spans="2:15">
      <c r="B39" s="229"/>
      <c r="C39" s="229"/>
      <c r="D39" s="229"/>
    </row>
    <row r="40" spans="2:15">
      <c r="B40" s="229"/>
      <c r="C40" s="229"/>
      <c r="D40" s="229"/>
    </row>
    <row r="41" spans="2:15">
      <c r="B41" s="229"/>
      <c r="C41" s="229"/>
      <c r="D41" s="229"/>
    </row>
    <row r="42" spans="2:15" ht="23">
      <c r="B42" s="229"/>
      <c r="C42" s="232"/>
      <c r="D42" s="229"/>
    </row>
    <row r="43" spans="2:15" ht="23">
      <c r="B43" s="229"/>
      <c r="C43" s="232"/>
      <c r="D43" s="232"/>
    </row>
    <row r="44" spans="2:15" ht="23">
      <c r="B44" s="229"/>
      <c r="C44" s="231"/>
      <c r="D44" s="231"/>
    </row>
    <row r="45" spans="2:15">
      <c r="B45" s="229"/>
      <c r="C45" s="229"/>
      <c r="D45" s="229"/>
    </row>
    <row r="46" spans="2:15">
      <c r="B46" s="229"/>
      <c r="C46" s="229"/>
      <c r="D46" s="229"/>
    </row>
    <row r="47" spans="2:15">
      <c r="B47" s="229"/>
      <c r="C47" s="229"/>
      <c r="D47" s="229"/>
    </row>
    <row r="48" spans="2:15" ht="23">
      <c r="B48" s="229"/>
      <c r="C48" s="232"/>
      <c r="D48" s="229"/>
    </row>
    <row r="49" spans="2:4">
      <c r="B49" s="229"/>
      <c r="C49" s="229"/>
      <c r="D49" s="229"/>
    </row>
    <row r="50" spans="2:4">
      <c r="B50" s="229"/>
      <c r="C50" s="229"/>
      <c r="D50" s="229"/>
    </row>
    <row r="51" spans="2:4">
      <c r="B51" s="229"/>
      <c r="C51" s="229"/>
      <c r="D51" s="229"/>
    </row>
    <row r="52" spans="2:4">
      <c r="B52" s="229"/>
      <c r="C52" s="229"/>
      <c r="D52" s="229"/>
    </row>
    <row r="53" spans="2:4" ht="23">
      <c r="B53" s="229"/>
      <c r="C53" s="232"/>
      <c r="D53" s="229"/>
    </row>
    <row r="54" spans="2:4">
      <c r="B54" s="229"/>
      <c r="C54" s="229"/>
      <c r="D54" s="229"/>
    </row>
    <row r="55" spans="2:4">
      <c r="B55" s="229"/>
      <c r="C55" s="229"/>
      <c r="D55" s="229"/>
    </row>
    <row r="56" spans="2:4">
      <c r="B56" s="229"/>
      <c r="C56" s="229"/>
      <c r="D56" s="229"/>
    </row>
    <row r="57" spans="2:4">
      <c r="B57" s="229"/>
      <c r="C57" s="229"/>
      <c r="D57" s="229"/>
    </row>
    <row r="58" spans="2:4">
      <c r="B58" s="229"/>
      <c r="C58" s="229"/>
      <c r="D58" s="229"/>
    </row>
    <row r="59" spans="2:4" ht="23">
      <c r="B59" s="229"/>
      <c r="C59" s="232"/>
      <c r="D59" s="229"/>
    </row>
  </sheetData>
  <mergeCells count="10">
    <mergeCell ref="G29:H31"/>
    <mergeCell ref="O5:P7"/>
    <mergeCell ref="O11:P13"/>
    <mergeCell ref="O17:P19"/>
    <mergeCell ref="O23:P25"/>
    <mergeCell ref="O29:P31"/>
    <mergeCell ref="G5:H7"/>
    <mergeCell ref="G11:H13"/>
    <mergeCell ref="G17:H19"/>
    <mergeCell ref="G23:H25"/>
  </mergeCells>
  <conditionalFormatting sqref="G5:H7 G11:H13 G17:H19 G23:H25 G29:H31 O5:P7 O11:P13 O17:P19 O23:P25 O29:P31">
    <cfRule type="cellIs" dxfId="0" priority="11" operator="equal">
      <formula>$AD$5</formula>
    </cfRule>
  </conditionalFormatting>
  <dataValidations count="1">
    <dataValidation type="list" allowBlank="1" showInputMessage="1" showErrorMessage="1" sqref="AD5:AD12 G5:H7 G11:H13 G17:H19 G23:H25 G29:H31 O5:P7 O11:P13 O17:P19 O23:P25 O29:P31" xr:uid="{7ABD3B9C-2316-4862-AC99-1A1F40B17BC0}">
      <formula1>$AD$5:$AD$12</formula1>
    </dataValidation>
  </dataValidation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780B58-4E95-4B41-A90B-671287220784}">
  <sheetPr codeName="Sheet20">
    <tabColor rgb="FFA0FC18"/>
  </sheetPr>
  <dimension ref="B1:X59"/>
  <sheetViews>
    <sheetView workbookViewId="0">
      <selection activeCell="Q30" sqref="Q30"/>
    </sheetView>
  </sheetViews>
  <sheetFormatPr defaultColWidth="8.58203125" defaultRowHeight="14.5"/>
  <cols>
    <col min="1" max="2" width="8.58203125" style="200"/>
    <col min="3" max="3" width="4.75" style="200" bestFit="1" customWidth="1"/>
    <col min="4" max="4" width="8.58203125" style="200"/>
    <col min="5" max="5" width="9.9140625" style="200" customWidth="1"/>
    <col min="6" max="6" width="8.58203125" style="200" customWidth="1"/>
    <col min="7" max="7" width="9.33203125" style="200" customWidth="1"/>
    <col min="8" max="8" width="5.75" style="200" bestFit="1" customWidth="1"/>
    <col min="9" max="9" width="12.6640625" style="200" customWidth="1"/>
    <col min="10" max="11" width="15.83203125" style="200" bestFit="1" customWidth="1"/>
    <col min="12" max="12" width="8.58203125" style="200"/>
    <col min="13" max="13" width="21" style="200" bestFit="1" customWidth="1"/>
    <col min="14" max="16384" width="8.58203125" style="200"/>
  </cols>
  <sheetData>
    <row r="1" spans="2:24">
      <c r="V1" s="127"/>
      <c r="W1" s="127"/>
      <c r="X1" s="127"/>
    </row>
    <row r="2" spans="2:24">
      <c r="V2" s="227" t="s">
        <v>319</v>
      </c>
      <c r="W2" s="127"/>
      <c r="X2" s="127"/>
    </row>
    <row r="3" spans="2:24">
      <c r="B3" s="229"/>
      <c r="C3" s="307"/>
      <c r="D3" s="307"/>
      <c r="E3" s="307"/>
      <c r="F3" s="307"/>
      <c r="G3" s="307"/>
      <c r="H3" s="307"/>
      <c r="I3" s="307"/>
      <c r="J3" s="229"/>
      <c r="K3" s="229"/>
      <c r="L3" s="229"/>
      <c r="M3" s="229"/>
      <c r="N3" s="229"/>
      <c r="V3" s="227"/>
      <c r="W3" s="127"/>
      <c r="X3" s="127"/>
    </row>
    <row r="4" spans="2:24">
      <c r="B4" s="229"/>
      <c r="C4" s="307"/>
      <c r="D4" s="307"/>
      <c r="E4" s="307"/>
      <c r="F4" s="307"/>
      <c r="G4" s="307"/>
      <c r="H4" s="307"/>
      <c r="I4" s="307"/>
      <c r="J4" s="229"/>
      <c r="K4" s="229"/>
      <c r="L4" s="229"/>
      <c r="M4" s="229"/>
      <c r="N4" s="229"/>
      <c r="V4" s="200" t="s">
        <v>320</v>
      </c>
      <c r="W4" s="127"/>
      <c r="X4" s="127"/>
    </row>
    <row r="5" spans="2:24" ht="15" customHeight="1">
      <c r="B5" s="229"/>
      <c r="C5" s="231"/>
      <c r="D5" s="231"/>
      <c r="E5" s="231"/>
      <c r="F5" s="231"/>
      <c r="G5" s="231"/>
      <c r="H5" s="231"/>
      <c r="I5" s="231"/>
      <c r="J5" s="229"/>
      <c r="K5" s="229"/>
      <c r="L5" s="229"/>
      <c r="M5" s="229"/>
      <c r="N5" s="229"/>
      <c r="V5" s="200" t="s">
        <v>323</v>
      </c>
      <c r="W5" s="227"/>
      <c r="X5" s="227"/>
    </row>
    <row r="6" spans="2:24">
      <c r="B6" s="229"/>
      <c r="C6" s="229"/>
      <c r="D6" s="229"/>
      <c r="E6" s="229"/>
      <c r="F6" s="229"/>
      <c r="G6" s="229"/>
      <c r="H6" s="229"/>
      <c r="I6" s="229"/>
      <c r="J6" s="229"/>
      <c r="K6" s="229"/>
      <c r="L6" s="229"/>
      <c r="M6" s="229"/>
      <c r="N6" s="229"/>
      <c r="V6" s="200" t="s">
        <v>321</v>
      </c>
    </row>
    <row r="7" spans="2:24">
      <c r="B7" s="229"/>
      <c r="C7" s="229"/>
      <c r="D7" s="229"/>
      <c r="E7" s="229"/>
      <c r="F7" s="229"/>
      <c r="G7" s="229"/>
      <c r="H7" s="229"/>
      <c r="I7" s="229"/>
      <c r="J7" s="229"/>
      <c r="K7" s="229"/>
      <c r="L7" s="229"/>
      <c r="M7" s="229"/>
      <c r="N7" s="229"/>
      <c r="V7" s="200" t="s">
        <v>322</v>
      </c>
    </row>
    <row r="8" spans="2:24">
      <c r="B8" s="229"/>
      <c r="C8" s="229"/>
      <c r="D8" s="229"/>
      <c r="E8" s="230"/>
      <c r="F8" s="229"/>
      <c r="G8" s="230"/>
      <c r="H8" s="229"/>
      <c r="I8" s="230"/>
      <c r="J8" s="230"/>
      <c r="K8" s="230"/>
      <c r="L8" s="229"/>
      <c r="M8" s="229"/>
      <c r="N8" s="229"/>
      <c r="V8" s="200" t="s">
        <v>324</v>
      </c>
    </row>
    <row r="9" spans="2:24" ht="15" thickBot="1">
      <c r="B9" s="229"/>
      <c r="C9" s="229"/>
      <c r="D9" s="229"/>
      <c r="E9" s="229"/>
      <c r="F9" s="229"/>
      <c r="G9" s="229"/>
      <c r="H9" s="229"/>
      <c r="I9" s="229"/>
      <c r="J9" s="229"/>
      <c r="K9" s="229"/>
      <c r="L9" s="229"/>
      <c r="M9" s="229"/>
      <c r="N9" s="229"/>
    </row>
    <row r="10" spans="2:24">
      <c r="B10" s="229"/>
      <c r="C10" s="229"/>
      <c r="D10" s="229"/>
      <c r="E10" s="229"/>
      <c r="F10" s="229"/>
      <c r="G10" s="314"/>
      <c r="H10" s="315"/>
      <c r="I10" s="229"/>
      <c r="J10" s="229"/>
      <c r="K10" s="229"/>
      <c r="L10" s="229"/>
      <c r="M10" s="229"/>
      <c r="N10" s="229"/>
      <c r="V10" s="200" t="s">
        <v>325</v>
      </c>
    </row>
    <row r="11" spans="2:24">
      <c r="B11" s="229"/>
      <c r="C11" s="229"/>
      <c r="D11" s="229"/>
      <c r="E11" s="229"/>
      <c r="F11" s="229"/>
      <c r="G11" s="316"/>
      <c r="H11" s="317"/>
      <c r="I11" s="229"/>
      <c r="J11" s="229"/>
      <c r="K11" s="229"/>
      <c r="L11" s="229"/>
      <c r="M11" s="229"/>
      <c r="N11" s="229"/>
      <c r="V11" s="200" t="s">
        <v>326</v>
      </c>
    </row>
    <row r="12" spans="2:24" ht="15" thickBot="1">
      <c r="B12" s="229"/>
      <c r="C12" s="229"/>
      <c r="D12" s="229"/>
      <c r="E12" s="229"/>
      <c r="F12" s="229"/>
      <c r="G12" s="318"/>
      <c r="H12" s="319"/>
      <c r="I12" s="229"/>
      <c r="J12" s="229"/>
      <c r="K12" s="229"/>
      <c r="L12" s="229"/>
      <c r="M12" s="229"/>
      <c r="N12" s="229"/>
      <c r="V12" s="200" t="s">
        <v>327</v>
      </c>
    </row>
    <row r="13" spans="2:24">
      <c r="B13" s="229"/>
      <c r="C13" s="229"/>
      <c r="D13" s="229"/>
      <c r="E13" s="229"/>
      <c r="F13" s="229"/>
      <c r="G13" s="229"/>
      <c r="H13" s="229"/>
      <c r="I13" s="229"/>
      <c r="J13" s="229"/>
      <c r="K13" s="229"/>
      <c r="L13" s="229"/>
      <c r="M13" s="229"/>
      <c r="N13" s="229"/>
    </row>
    <row r="14" spans="2:24">
      <c r="B14" s="229"/>
      <c r="C14" s="229"/>
      <c r="D14" s="229"/>
      <c r="E14" s="229"/>
      <c r="F14" s="229"/>
      <c r="G14" s="230"/>
      <c r="H14" s="229"/>
      <c r="I14" s="229"/>
      <c r="J14" s="230"/>
      <c r="K14" s="230"/>
      <c r="L14" s="229"/>
      <c r="M14" s="229"/>
      <c r="N14" s="229"/>
    </row>
    <row r="15" spans="2:24">
      <c r="B15" s="229"/>
      <c r="C15" s="229"/>
      <c r="D15" s="229"/>
      <c r="E15" s="230"/>
      <c r="F15" s="229"/>
      <c r="G15" s="229"/>
      <c r="H15" s="229"/>
      <c r="I15" s="229"/>
      <c r="J15" s="230"/>
      <c r="K15" s="230"/>
      <c r="L15" s="229"/>
      <c r="M15" s="229"/>
      <c r="N15" s="229"/>
    </row>
    <row r="16" spans="2:24">
      <c r="B16" s="229"/>
      <c r="C16" s="229"/>
      <c r="D16" s="229"/>
      <c r="E16" s="229"/>
      <c r="F16" s="229"/>
      <c r="G16" s="229"/>
      <c r="H16" s="229"/>
      <c r="I16" s="229"/>
      <c r="J16" s="229"/>
      <c r="K16" s="229"/>
      <c r="L16" s="229"/>
      <c r="M16" s="229"/>
      <c r="N16" s="229"/>
    </row>
    <row r="17" spans="2:14">
      <c r="B17" s="229"/>
      <c r="C17" s="229"/>
      <c r="D17" s="229"/>
      <c r="E17" s="229"/>
      <c r="F17" s="229"/>
      <c r="G17" s="229"/>
      <c r="H17" s="229"/>
      <c r="I17" s="229"/>
      <c r="J17" s="229"/>
      <c r="K17" s="229"/>
      <c r="L17" s="229"/>
      <c r="M17" s="229"/>
      <c r="N17" s="229"/>
    </row>
    <row r="18" spans="2:14">
      <c r="B18" s="229"/>
      <c r="C18" s="229"/>
      <c r="D18" s="229"/>
      <c r="E18" s="229"/>
      <c r="F18" s="229"/>
      <c r="G18" s="229"/>
      <c r="H18" s="229"/>
      <c r="I18" s="229"/>
      <c r="J18" s="229"/>
      <c r="K18" s="229"/>
      <c r="L18" s="229"/>
      <c r="M18" s="229"/>
      <c r="N18" s="229"/>
    </row>
    <row r="19" spans="2:14" ht="14.5" customHeight="1">
      <c r="B19" s="229"/>
      <c r="C19" s="232"/>
      <c r="D19" s="229"/>
      <c r="E19" s="232"/>
      <c r="F19" s="232"/>
      <c r="G19" s="232"/>
      <c r="H19" s="232"/>
      <c r="I19" s="232"/>
      <c r="J19" s="229"/>
      <c r="K19" s="229"/>
      <c r="L19" s="229"/>
      <c r="M19" s="229"/>
      <c r="N19" s="229"/>
    </row>
    <row r="20" spans="2:14" ht="14.5" customHeight="1">
      <c r="B20" s="229"/>
      <c r="C20" s="232"/>
      <c r="D20" s="232"/>
      <c r="E20" s="232"/>
      <c r="F20" s="232"/>
      <c r="G20" s="232"/>
      <c r="H20" s="232"/>
      <c r="I20" s="232"/>
      <c r="J20" s="229"/>
      <c r="K20" s="229"/>
      <c r="L20" s="229"/>
      <c r="M20" s="229"/>
      <c r="N20" s="229"/>
    </row>
    <row r="21" spans="2:14" ht="18.5" customHeight="1">
      <c r="B21" s="229"/>
      <c r="C21" s="231"/>
      <c r="D21" s="231"/>
      <c r="E21" s="231"/>
      <c r="F21" s="231"/>
      <c r="G21" s="231"/>
      <c r="H21" s="231"/>
      <c r="I21" s="231"/>
      <c r="J21" s="229"/>
      <c r="K21" s="229"/>
      <c r="L21" s="229"/>
      <c r="M21" s="229"/>
      <c r="N21" s="229"/>
    </row>
    <row r="22" spans="2:14">
      <c r="B22" s="229"/>
      <c r="C22" s="229"/>
      <c r="D22" s="229"/>
      <c r="E22" s="229"/>
      <c r="F22" s="229"/>
      <c r="G22" s="229"/>
      <c r="H22" s="229"/>
      <c r="I22" s="229"/>
      <c r="J22" s="229"/>
      <c r="K22" s="229"/>
      <c r="L22" s="229"/>
      <c r="M22" s="229"/>
      <c r="N22" s="229"/>
    </row>
    <row r="23" spans="2:14">
      <c r="B23" s="229"/>
      <c r="C23" s="229"/>
      <c r="D23" s="229"/>
      <c r="E23" s="229"/>
      <c r="F23" s="229"/>
      <c r="G23" s="229"/>
      <c r="H23" s="229"/>
      <c r="I23" s="229"/>
      <c r="J23" s="229"/>
      <c r="K23" s="229"/>
      <c r="L23" s="229"/>
      <c r="M23" s="229"/>
      <c r="N23" s="229"/>
    </row>
    <row r="24" spans="2:14">
      <c r="B24" s="229"/>
      <c r="C24" s="229"/>
      <c r="D24" s="229"/>
      <c r="E24" s="230"/>
      <c r="F24" s="229"/>
      <c r="G24" s="230"/>
      <c r="H24" s="229"/>
      <c r="I24" s="230"/>
      <c r="J24" s="230"/>
      <c r="K24" s="230"/>
      <c r="L24" s="229"/>
      <c r="M24" s="229"/>
      <c r="N24" s="229"/>
    </row>
    <row r="25" spans="2:14" ht="23">
      <c r="B25" s="229"/>
      <c r="C25" s="232"/>
      <c r="D25" s="229"/>
      <c r="E25" s="230"/>
      <c r="F25" s="229"/>
      <c r="G25" s="230"/>
      <c r="H25" s="229"/>
      <c r="I25" s="230"/>
      <c r="J25" s="230"/>
      <c r="K25" s="230"/>
      <c r="L25" s="229"/>
      <c r="M25" s="229"/>
      <c r="N25" s="229"/>
    </row>
    <row r="26" spans="2:14">
      <c r="B26" s="229"/>
      <c r="C26" s="229"/>
      <c r="D26" s="229"/>
      <c r="E26" s="229"/>
      <c r="F26" s="229"/>
      <c r="G26" s="229"/>
      <c r="H26" s="229"/>
      <c r="I26" s="229"/>
      <c r="J26" s="229"/>
      <c r="K26" s="229"/>
      <c r="L26" s="229"/>
      <c r="M26" s="229"/>
      <c r="N26" s="229"/>
    </row>
    <row r="27" spans="2:14">
      <c r="B27" s="229"/>
      <c r="C27" s="229"/>
      <c r="D27" s="229"/>
      <c r="E27" s="229"/>
      <c r="F27" s="229"/>
      <c r="G27" s="229"/>
      <c r="H27" s="229"/>
      <c r="I27" s="229"/>
      <c r="J27" s="229"/>
      <c r="K27" s="229"/>
      <c r="L27" s="229"/>
      <c r="M27" s="229"/>
      <c r="N27" s="229"/>
    </row>
    <row r="28" spans="2:14">
      <c r="B28" s="229"/>
      <c r="C28" s="229"/>
      <c r="D28" s="229"/>
      <c r="E28" s="229"/>
      <c r="F28" s="229"/>
      <c r="G28" s="229"/>
      <c r="H28" s="229"/>
      <c r="I28" s="229"/>
      <c r="J28" s="229"/>
      <c r="K28" s="229"/>
      <c r="L28" s="229"/>
      <c r="M28" s="229"/>
      <c r="N28" s="229"/>
    </row>
    <row r="29" spans="2:14">
      <c r="B29" s="229"/>
      <c r="C29" s="229"/>
      <c r="D29" s="229"/>
      <c r="E29" s="229"/>
      <c r="F29" s="229"/>
      <c r="G29" s="229"/>
      <c r="H29" s="229"/>
      <c r="I29" s="229"/>
      <c r="J29" s="229"/>
      <c r="K29" s="229"/>
      <c r="L29" s="229"/>
      <c r="M29" s="229"/>
      <c r="N29" s="229"/>
    </row>
    <row r="30" spans="2:14" ht="23">
      <c r="B30" s="229"/>
      <c r="C30" s="232"/>
      <c r="D30" s="229"/>
      <c r="E30" s="229"/>
      <c r="F30" s="229"/>
      <c r="G30" s="229"/>
      <c r="H30" s="229"/>
      <c r="I30" s="229"/>
      <c r="J30" s="229"/>
      <c r="K30" s="229"/>
      <c r="L30" s="229"/>
      <c r="M30" s="229"/>
      <c r="N30" s="229"/>
    </row>
    <row r="31" spans="2:14">
      <c r="B31" s="229"/>
      <c r="C31" s="229"/>
      <c r="D31" s="229"/>
      <c r="E31" s="229"/>
      <c r="F31" s="229"/>
      <c r="G31" s="229"/>
      <c r="H31" s="229"/>
      <c r="I31" s="229"/>
      <c r="J31" s="229"/>
      <c r="K31" s="229"/>
      <c r="L31" s="229"/>
      <c r="M31" s="229"/>
      <c r="N31" s="229"/>
    </row>
    <row r="32" spans="2:14">
      <c r="B32" s="229"/>
      <c r="C32" s="229"/>
      <c r="D32" s="229"/>
      <c r="E32" s="229"/>
      <c r="F32" s="229"/>
      <c r="G32" s="230"/>
      <c r="H32" s="229"/>
      <c r="I32" s="229"/>
      <c r="J32" s="230"/>
      <c r="K32" s="230"/>
      <c r="L32" s="229"/>
      <c r="M32" s="229"/>
      <c r="N32" s="229"/>
    </row>
    <row r="33" spans="2:14">
      <c r="B33" s="229"/>
      <c r="C33" s="229"/>
      <c r="D33" s="229"/>
      <c r="E33" s="230"/>
      <c r="F33" s="229"/>
      <c r="G33" s="229"/>
      <c r="H33" s="229"/>
      <c r="I33" s="229"/>
      <c r="J33" s="230"/>
      <c r="K33" s="230"/>
      <c r="L33" s="229"/>
      <c r="M33" s="229"/>
      <c r="N33" s="229"/>
    </row>
    <row r="34" spans="2:14">
      <c r="B34" s="229"/>
      <c r="C34" s="229"/>
      <c r="D34" s="229"/>
      <c r="E34" s="229"/>
      <c r="F34" s="229"/>
      <c r="G34" s="229"/>
      <c r="H34" s="229"/>
      <c r="I34" s="229"/>
      <c r="J34" s="229"/>
      <c r="K34" s="229"/>
      <c r="L34" s="229"/>
      <c r="M34" s="229"/>
      <c r="N34" s="229"/>
    </row>
    <row r="35" spans="2:14">
      <c r="B35" s="229"/>
      <c r="C35" s="229"/>
      <c r="D35" s="229"/>
      <c r="E35" s="229"/>
      <c r="F35" s="229"/>
      <c r="G35" s="229"/>
      <c r="H35" s="229"/>
      <c r="I35" s="229"/>
      <c r="J35" s="229"/>
      <c r="K35" s="229"/>
      <c r="L35" s="229"/>
      <c r="M35" s="229"/>
      <c r="N35" s="229"/>
    </row>
    <row r="36" spans="2:14" ht="16" customHeight="1">
      <c r="B36" s="229"/>
      <c r="C36" s="232"/>
      <c r="D36" s="229"/>
      <c r="E36" s="229"/>
      <c r="F36" s="229"/>
      <c r="G36" s="229"/>
      <c r="H36" s="229"/>
      <c r="I36" s="229"/>
      <c r="J36" s="229"/>
      <c r="K36" s="229"/>
      <c r="L36" s="229"/>
      <c r="M36" s="229"/>
      <c r="N36" s="229"/>
    </row>
    <row r="37" spans="2:14">
      <c r="B37" s="229"/>
      <c r="C37" s="229"/>
      <c r="D37" s="229"/>
      <c r="E37" s="229"/>
      <c r="F37" s="229"/>
      <c r="G37" s="229"/>
      <c r="H37" s="229"/>
      <c r="I37" s="229"/>
      <c r="J37" s="229"/>
      <c r="K37" s="229"/>
      <c r="L37" s="229"/>
      <c r="M37" s="229"/>
      <c r="N37" s="229"/>
    </row>
    <row r="38" spans="2:14">
      <c r="B38" s="229"/>
      <c r="C38" s="229"/>
      <c r="D38" s="229"/>
    </row>
    <row r="39" spans="2:14">
      <c r="B39" s="229"/>
      <c r="C39" s="229"/>
      <c r="D39" s="229"/>
    </row>
    <row r="40" spans="2:14">
      <c r="B40" s="229"/>
      <c r="C40" s="229"/>
      <c r="D40" s="229"/>
    </row>
    <row r="41" spans="2:14">
      <c r="B41" s="229"/>
      <c r="C41" s="229"/>
      <c r="D41" s="229"/>
    </row>
    <row r="42" spans="2:14" ht="23">
      <c r="B42" s="229"/>
      <c r="C42" s="232"/>
      <c r="D42" s="229"/>
    </row>
    <row r="43" spans="2:14" ht="23">
      <c r="B43" s="229"/>
      <c r="C43" s="232"/>
      <c r="D43" s="232"/>
    </row>
    <row r="44" spans="2:14" ht="23">
      <c r="B44" s="229"/>
      <c r="C44" s="231"/>
      <c r="D44" s="231"/>
    </row>
    <row r="45" spans="2:14">
      <c r="B45" s="229"/>
      <c r="C45" s="229"/>
      <c r="D45" s="229"/>
    </row>
    <row r="46" spans="2:14">
      <c r="B46" s="229"/>
      <c r="C46" s="229"/>
      <c r="D46" s="229"/>
    </row>
    <row r="47" spans="2:14">
      <c r="B47" s="229"/>
      <c r="C47" s="229"/>
      <c r="D47" s="229"/>
    </row>
    <row r="48" spans="2:14" ht="23">
      <c r="B48" s="229"/>
      <c r="C48" s="232"/>
      <c r="D48" s="229"/>
    </row>
    <row r="49" spans="2:4">
      <c r="B49" s="229"/>
      <c r="C49" s="229"/>
      <c r="D49" s="229"/>
    </row>
    <row r="50" spans="2:4">
      <c r="B50" s="229"/>
      <c r="C50" s="229"/>
      <c r="D50" s="229"/>
    </row>
    <row r="51" spans="2:4">
      <c r="B51" s="229"/>
      <c r="C51" s="229"/>
      <c r="D51" s="229"/>
    </row>
    <row r="52" spans="2:4">
      <c r="B52" s="229"/>
      <c r="C52" s="229"/>
      <c r="D52" s="229"/>
    </row>
    <row r="53" spans="2:4" ht="23">
      <c r="B53" s="229"/>
      <c r="C53" s="232"/>
      <c r="D53" s="229"/>
    </row>
    <row r="54" spans="2:4">
      <c r="B54" s="229"/>
      <c r="C54" s="229"/>
      <c r="D54" s="229"/>
    </row>
    <row r="55" spans="2:4">
      <c r="B55" s="229"/>
      <c r="C55" s="229"/>
      <c r="D55" s="229"/>
    </row>
    <row r="56" spans="2:4">
      <c r="B56" s="229"/>
      <c r="C56" s="229"/>
      <c r="D56" s="229"/>
    </row>
    <row r="57" spans="2:4">
      <c r="B57" s="229"/>
      <c r="C57" s="229"/>
      <c r="D57" s="229"/>
    </row>
    <row r="58" spans="2:4">
      <c r="B58" s="229"/>
      <c r="C58" s="229"/>
      <c r="D58" s="229"/>
    </row>
    <row r="59" spans="2:4" ht="23">
      <c r="B59" s="229"/>
      <c r="C59" s="232"/>
      <c r="D59" s="229"/>
    </row>
  </sheetData>
  <mergeCells count="2">
    <mergeCell ref="C3:I4"/>
    <mergeCell ref="G10:H12"/>
  </mergeCell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6D8D9B-D29D-4DAF-B77E-7A6A33C08899}">
  <sheetPr codeName="Sheet11">
    <tabColor rgb="FFFF00FF"/>
  </sheetPr>
  <dimension ref="C1:X38"/>
  <sheetViews>
    <sheetView workbookViewId="0">
      <selection activeCell="L32" sqref="L32"/>
    </sheetView>
  </sheetViews>
  <sheetFormatPr defaultColWidth="8.58203125" defaultRowHeight="14.5"/>
  <cols>
    <col min="1" max="2" width="8.58203125" style="200"/>
    <col min="3" max="3" width="9.5" style="200" customWidth="1"/>
    <col min="4" max="4" width="8.58203125" style="200"/>
    <col min="5" max="5" width="9.9140625" style="200" customWidth="1"/>
    <col min="6" max="6" width="8.58203125" style="200" customWidth="1"/>
    <col min="7" max="7" width="19.08203125" style="200" customWidth="1"/>
    <col min="8" max="8" width="5.75" style="200" bestFit="1" customWidth="1"/>
    <col min="9" max="9" width="12.6640625" style="200" customWidth="1"/>
    <col min="10" max="11" width="15.83203125" style="200" bestFit="1" customWidth="1"/>
    <col min="12" max="12" width="14.5" style="200" customWidth="1"/>
    <col min="13" max="13" width="16.33203125" style="200" customWidth="1"/>
    <col min="14" max="16384" width="8.58203125" style="200"/>
  </cols>
  <sheetData>
    <row r="1" spans="3:24">
      <c r="V1" s="127"/>
      <c r="W1" s="127"/>
      <c r="X1" s="127"/>
    </row>
    <row r="2" spans="3:24">
      <c r="V2" s="227"/>
      <c r="W2" s="127"/>
      <c r="X2" s="127"/>
    </row>
    <row r="3" spans="3:24">
      <c r="C3" s="307" t="s">
        <v>305</v>
      </c>
      <c r="D3" s="307"/>
      <c r="E3" s="307"/>
      <c r="F3" s="307"/>
      <c r="G3" s="307"/>
      <c r="H3" s="307"/>
      <c r="I3" s="307"/>
      <c r="V3" s="227"/>
      <c r="W3" s="127"/>
      <c r="X3" s="127"/>
    </row>
    <row r="4" spans="3:24">
      <c r="C4" s="307"/>
      <c r="D4" s="307"/>
      <c r="E4" s="307"/>
      <c r="F4" s="307"/>
      <c r="G4" s="307"/>
      <c r="H4" s="307"/>
      <c r="I4" s="307"/>
      <c r="W4" s="127"/>
      <c r="X4" s="127"/>
    </row>
    <row r="5" spans="3:24" ht="23.5" thickBot="1">
      <c r="C5" s="228"/>
      <c r="D5" s="228"/>
      <c r="E5" s="228"/>
      <c r="F5" s="228"/>
      <c r="G5" s="228"/>
      <c r="H5" s="228"/>
      <c r="I5" s="228"/>
      <c r="W5" s="227"/>
      <c r="X5" s="227"/>
    </row>
    <row r="6" spans="3:24" ht="15" thickBot="1">
      <c r="C6" s="201"/>
      <c r="D6" s="202"/>
      <c r="E6" s="202" t="s">
        <v>306</v>
      </c>
      <c r="F6" s="202"/>
      <c r="G6" s="202" t="s">
        <v>105</v>
      </c>
      <c r="H6" s="202"/>
      <c r="I6" s="202" t="s">
        <v>307</v>
      </c>
      <c r="J6" s="202" t="s">
        <v>308</v>
      </c>
      <c r="K6" s="202"/>
      <c r="L6" s="202"/>
      <c r="M6" s="203"/>
    </row>
    <row r="8" spans="3:24">
      <c r="E8" s="208">
        <f>IF(E9&lt;&gt;0,E9,IF(E10&lt;&gt;0,E10*1000,IF(E11&lt;&gt;0,E11*1000000,0)))</f>
        <v>90909.090909090912</v>
      </c>
      <c r="F8" s="200" t="s">
        <v>30</v>
      </c>
      <c r="G8" s="262">
        <f>IF(G9&lt;&gt;0,G9/'Cap Value Table'!D8,IF(G10&lt;&gt;0,G10/'Cap Value Table'!E8,IF(G11&lt;&gt;0,G11/'Cap Value Table'!F8,0)))</f>
        <v>1.0000000000000001E-5</v>
      </c>
      <c r="H8" s="200" t="s">
        <v>1</v>
      </c>
      <c r="I8" s="264">
        <f>1.1*E8*G8</f>
        <v>1.0000000000000002</v>
      </c>
      <c r="J8" s="263">
        <f>I8*1000</f>
        <v>1000.0000000000002</v>
      </c>
      <c r="K8" s="292"/>
    </row>
    <row r="9" spans="3:24">
      <c r="E9" s="75"/>
      <c r="F9" s="200" t="s">
        <v>30</v>
      </c>
      <c r="G9" s="75">
        <v>10</v>
      </c>
      <c r="H9" s="200" t="s">
        <v>2</v>
      </c>
    </row>
    <row r="10" spans="3:24">
      <c r="E10" s="204">
        <f>E14</f>
        <v>90.909090909090907</v>
      </c>
      <c r="F10" s="200" t="s">
        <v>32</v>
      </c>
      <c r="G10" s="204"/>
      <c r="H10" s="200" t="s">
        <v>3</v>
      </c>
    </row>
    <row r="11" spans="3:24">
      <c r="E11" s="205"/>
      <c r="F11" s="200" t="s">
        <v>33</v>
      </c>
      <c r="G11" s="205"/>
      <c r="H11" s="200" t="s">
        <v>4</v>
      </c>
    </row>
    <row r="14" spans="3:24">
      <c r="E14" s="218">
        <f>I14/(1.1*G14)/1000</f>
        <v>90.909090909090907</v>
      </c>
      <c r="F14" s="200" t="s">
        <v>32</v>
      </c>
      <c r="G14" s="267">
        <f>G15*10^-6</f>
        <v>9.9999999999999991E-6</v>
      </c>
      <c r="H14" s="200" t="s">
        <v>1</v>
      </c>
      <c r="I14" s="265">
        <v>1</v>
      </c>
      <c r="J14" s="291">
        <f>I14*1000</f>
        <v>1000</v>
      </c>
      <c r="K14" s="292"/>
    </row>
    <row r="15" spans="3:24">
      <c r="G15" s="266">
        <v>10</v>
      </c>
      <c r="H15" s="200" t="s">
        <v>2</v>
      </c>
      <c r="I15" s="293"/>
      <c r="J15" s="292"/>
      <c r="K15" s="292"/>
    </row>
    <row r="19" spans="3:13" ht="14.5" customHeight="1">
      <c r="C19" s="307" t="s">
        <v>310</v>
      </c>
      <c r="D19" s="307"/>
      <c r="E19" s="307"/>
      <c r="F19" s="307"/>
      <c r="G19" s="307"/>
      <c r="H19" s="307"/>
      <c r="I19" s="307"/>
    </row>
    <row r="20" spans="3:13" ht="14.5" customHeight="1">
      <c r="C20" s="307"/>
      <c r="D20" s="307"/>
      <c r="E20" s="307"/>
      <c r="F20" s="307"/>
      <c r="G20" s="307"/>
      <c r="H20" s="307"/>
      <c r="I20" s="307"/>
    </row>
    <row r="21" spans="3:13" ht="23.5" thickBot="1">
      <c r="C21" s="231"/>
      <c r="D21" s="231"/>
      <c r="E21" s="231"/>
      <c r="F21" s="231"/>
      <c r="G21" s="231"/>
      <c r="H21" s="231"/>
      <c r="I21" s="231"/>
    </row>
    <row r="22" spans="3:13" ht="15" thickBot="1">
      <c r="C22" s="271" t="s">
        <v>306</v>
      </c>
      <c r="D22" s="272"/>
      <c r="E22" s="272" t="s">
        <v>311</v>
      </c>
      <c r="F22" s="272"/>
      <c r="G22" s="272"/>
      <c r="H22" s="272"/>
      <c r="I22" s="272" t="s">
        <v>313</v>
      </c>
      <c r="J22" s="272" t="s">
        <v>314</v>
      </c>
      <c r="K22" s="272" t="s">
        <v>317</v>
      </c>
      <c r="L22" s="272" t="s">
        <v>312</v>
      </c>
      <c r="M22" s="273" t="s">
        <v>316</v>
      </c>
    </row>
    <row r="24" spans="3:13">
      <c r="C24" s="220">
        <f>IF(C25&lt;&gt;0,C25,IF(C26&lt;&gt;0,C26*1000,IF(C27&lt;&gt;0,C27*1000000,0)))</f>
        <v>1000</v>
      </c>
      <c r="D24" s="200" t="s">
        <v>30</v>
      </c>
      <c r="E24" s="212">
        <f>IF(E25&lt;&gt;0,E25,IF(E26&lt;&gt;0,E26*1000,IF(E27&lt;&gt;0,E27*1000000,0)))</f>
        <v>1000</v>
      </c>
      <c r="F24" s="200" t="s">
        <v>30</v>
      </c>
      <c r="G24" s="268">
        <f>IF(G25&lt;&gt;0,G25/'Cap Value Table'!D8,IF(G26&lt;&gt;0,G26/'Cap Value Table'!E8,IF(G27&lt;&gt;0,G27/'Cap Value Table'!F8,0)))</f>
        <v>1.0000000000000001E-5</v>
      </c>
      <c r="H24" s="200" t="s">
        <v>1</v>
      </c>
      <c r="I24" s="224">
        <f>0.693*(C24*G24)</f>
        <v>6.9299999999999995E-3</v>
      </c>
      <c r="J24" s="275">
        <f>K24*(1-M24)</f>
        <v>6.9299999999999995E-3</v>
      </c>
      <c r="K24" s="215">
        <f>I24/M24</f>
        <v>1.3859999999999999E-2</v>
      </c>
      <c r="L24" s="270">
        <f>1/K24</f>
        <v>72.150072150072148</v>
      </c>
      <c r="M24" s="277">
        <f>C24/(C24+E24)</f>
        <v>0.5</v>
      </c>
    </row>
    <row r="25" spans="3:13">
      <c r="C25" s="75"/>
      <c r="D25" s="200" t="s">
        <v>30</v>
      </c>
      <c r="E25" s="75"/>
      <c r="F25" s="200" t="s">
        <v>30</v>
      </c>
      <c r="G25" s="75">
        <v>10</v>
      </c>
      <c r="H25" s="200" t="s">
        <v>2</v>
      </c>
    </row>
    <row r="26" spans="3:13">
      <c r="C26" s="204">
        <v>1</v>
      </c>
      <c r="D26" s="200" t="s">
        <v>32</v>
      </c>
      <c r="E26" s="204">
        <v>1</v>
      </c>
      <c r="F26" s="200" t="s">
        <v>32</v>
      </c>
      <c r="G26" s="204"/>
      <c r="H26" s="200" t="s">
        <v>3</v>
      </c>
      <c r="I26" s="278">
        <f>I24*1000</f>
        <v>6.93</v>
      </c>
      <c r="J26" s="276">
        <f>J24*1000</f>
        <v>6.93</v>
      </c>
      <c r="K26" s="274">
        <f>K24*1000</f>
        <v>13.86</v>
      </c>
      <c r="L26" s="200" t="s">
        <v>315</v>
      </c>
    </row>
    <row r="27" spans="3:13">
      <c r="C27" s="205"/>
      <c r="D27" s="200" t="s">
        <v>33</v>
      </c>
      <c r="E27" s="205"/>
      <c r="F27" s="200" t="s">
        <v>33</v>
      </c>
      <c r="G27" s="205"/>
      <c r="H27" s="200" t="s">
        <v>4</v>
      </c>
    </row>
    <row r="30" spans="3:13">
      <c r="C30" s="288">
        <f>(I30/(0.693*G30))/0.693</f>
        <v>1443.0014430014432</v>
      </c>
      <c r="D30" s="289" t="s">
        <v>30</v>
      </c>
      <c r="E30" s="290">
        <f>(C30-(C30*M30))/M30</f>
        <v>1443.0014430014432</v>
      </c>
      <c r="F30" s="200" t="s">
        <v>30</v>
      </c>
      <c r="G30" s="279">
        <f>G31/10^6</f>
        <v>1.0000000000000001E-5</v>
      </c>
      <c r="H30" s="200" t="s">
        <v>1</v>
      </c>
      <c r="I30" s="280">
        <f>K30*M30</f>
        <v>6.9300000000000004E-3</v>
      </c>
      <c r="J30" s="281">
        <f>K30*(1-M30)</f>
        <v>6.9300000000000004E-3</v>
      </c>
      <c r="K30" s="284">
        <f>1/L30</f>
        <v>1.3860000000000001E-2</v>
      </c>
      <c r="L30" s="269">
        <f>IF(L31&lt;&gt;0,L31,IF(L32&lt;&gt;0,L32/60,0))</f>
        <v>72.150072150072148</v>
      </c>
      <c r="M30" s="75">
        <v>0.5</v>
      </c>
    </row>
    <row r="31" spans="3:13">
      <c r="C31" s="287">
        <f>C30/1000</f>
        <v>1.4430014430014433</v>
      </c>
      <c r="D31" s="286" t="s">
        <v>32</v>
      </c>
      <c r="E31" s="287">
        <f>E30/1000</f>
        <v>1.4430014430014433</v>
      </c>
      <c r="F31" s="200" t="s">
        <v>32</v>
      </c>
      <c r="G31" s="206">
        <v>10</v>
      </c>
      <c r="H31" s="200" t="s">
        <v>2</v>
      </c>
      <c r="L31" s="79">
        <f>L24</f>
        <v>72.150072150072148</v>
      </c>
      <c r="M31" s="200" t="s">
        <v>153</v>
      </c>
    </row>
    <row r="32" spans="3:13">
      <c r="I32" s="282">
        <f>I30*1000</f>
        <v>6.9300000000000006</v>
      </c>
      <c r="J32" s="283">
        <f>J30*1000</f>
        <v>6.9300000000000006</v>
      </c>
      <c r="K32" s="285">
        <f>K30*1000</f>
        <v>13.860000000000001</v>
      </c>
      <c r="L32" s="204"/>
      <c r="M32" s="200" t="s">
        <v>318</v>
      </c>
    </row>
    <row r="37" spans="3:9">
      <c r="C37" s="307" t="s">
        <v>309</v>
      </c>
      <c r="D37" s="307"/>
      <c r="E37" s="307"/>
      <c r="F37" s="307"/>
      <c r="G37" s="307"/>
      <c r="H37" s="307"/>
      <c r="I37" s="307"/>
    </row>
    <row r="38" spans="3:9">
      <c r="C38" s="307"/>
      <c r="D38" s="307"/>
      <c r="E38" s="307"/>
      <c r="F38" s="307"/>
      <c r="G38" s="307"/>
      <c r="H38" s="307"/>
      <c r="I38" s="307"/>
    </row>
  </sheetData>
  <mergeCells count="3">
    <mergeCell ref="C3:I4"/>
    <mergeCell ref="C19:I20"/>
    <mergeCell ref="C37:I38"/>
  </mergeCell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9CA85-9693-460A-9312-8EF414CDBD13}">
  <sheetPr codeName="Sheet13"/>
  <dimension ref="I22:N32"/>
  <sheetViews>
    <sheetView zoomScale="70" zoomScaleNormal="70" workbookViewId="0">
      <selection activeCell="L26" sqref="L26"/>
    </sheetView>
  </sheetViews>
  <sheetFormatPr defaultRowHeight="14"/>
  <cols>
    <col min="9" max="9" width="19.25" bestFit="1" customWidth="1"/>
    <col min="11" max="11" width="8" customWidth="1"/>
  </cols>
  <sheetData>
    <row r="22" spans="9:14">
      <c r="L22" s="5" t="s">
        <v>102</v>
      </c>
      <c r="M22" s="5" t="s">
        <v>104</v>
      </c>
    </row>
    <row r="23" spans="9:14">
      <c r="I23" s="5" t="s">
        <v>101</v>
      </c>
      <c r="J23" s="5" t="s">
        <v>25</v>
      </c>
      <c r="K23" s="5" t="s">
        <v>27</v>
      </c>
      <c r="L23" s="5" t="s">
        <v>103</v>
      </c>
      <c r="M23" s="1"/>
      <c r="N23" s="1"/>
    </row>
    <row r="24" spans="9:14">
      <c r="I24" s="1"/>
      <c r="J24" s="1"/>
      <c r="K24" s="1"/>
      <c r="L24" s="1"/>
      <c r="M24" s="1"/>
      <c r="N24" s="1"/>
    </row>
    <row r="25" spans="9:14">
      <c r="I25" s="1"/>
      <c r="J25" s="1">
        <v>9</v>
      </c>
      <c r="K25" s="19">
        <f>(2*J25)-(2*L25)</f>
        <v>17.61</v>
      </c>
      <c r="L25" s="1">
        <v>0.19500000000000001</v>
      </c>
      <c r="M25" s="1"/>
      <c r="N25" s="1"/>
    </row>
    <row r="26" spans="9:14">
      <c r="I26" s="1"/>
      <c r="J26" s="1"/>
      <c r="K26" s="1"/>
      <c r="L26" s="1"/>
      <c r="M26" s="1"/>
      <c r="N26" s="1"/>
    </row>
    <row r="27" spans="9:14">
      <c r="I27" s="1"/>
      <c r="J27" s="1"/>
      <c r="K27" s="1"/>
      <c r="L27" s="1"/>
      <c r="M27" s="1"/>
      <c r="N27" s="1"/>
    </row>
    <row r="28" spans="9:14">
      <c r="I28" s="1" t="s">
        <v>105</v>
      </c>
      <c r="J28" s="1" t="s">
        <v>108</v>
      </c>
      <c r="K28" s="1"/>
      <c r="L28" s="1"/>
      <c r="M28" s="1"/>
      <c r="N28" s="1"/>
    </row>
    <row r="29" spans="9:14">
      <c r="I29" s="1" t="s">
        <v>106</v>
      </c>
      <c r="J29" s="1" t="s">
        <v>108</v>
      </c>
      <c r="K29" s="1" t="s">
        <v>109</v>
      </c>
      <c r="L29" s="1"/>
      <c r="M29" s="1"/>
      <c r="N29" s="1"/>
    </row>
    <row r="30" spans="9:14">
      <c r="I30" s="1"/>
      <c r="J30" s="1"/>
      <c r="K30" s="1" t="s">
        <v>110</v>
      </c>
      <c r="L30" s="1"/>
      <c r="M30" s="1"/>
      <c r="N30" s="1"/>
    </row>
    <row r="31" spans="9:14">
      <c r="I31" s="5" t="s">
        <v>107</v>
      </c>
      <c r="J31" s="1"/>
      <c r="K31" s="1"/>
      <c r="L31" s="1"/>
      <c r="M31" s="1"/>
      <c r="N31" s="1"/>
    </row>
    <row r="32" spans="9:14">
      <c r="I32" s="5" t="s">
        <v>111</v>
      </c>
    </row>
  </sheetData>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4"/>
  <dimension ref="A1:I18"/>
  <sheetViews>
    <sheetView workbookViewId="0"/>
  </sheetViews>
  <sheetFormatPr defaultRowHeight="14"/>
  <cols>
    <col min="1" max="1" width="11.58203125" customWidth="1"/>
    <col min="2" max="2" width="12.83203125" customWidth="1"/>
    <col min="3" max="6" width="10.58203125" customWidth="1"/>
    <col min="7" max="7" width="11" customWidth="1"/>
    <col min="8" max="8" width="12.08203125" customWidth="1"/>
    <col min="9" max="9" width="18.33203125" customWidth="1"/>
  </cols>
  <sheetData>
    <row r="1" spans="1:9">
      <c r="A1" t="s">
        <v>112</v>
      </c>
    </row>
    <row r="2" spans="1:9">
      <c r="A2" t="s">
        <v>5</v>
      </c>
    </row>
    <row r="3" spans="1:9">
      <c r="E3" s="2"/>
      <c r="F3" s="2"/>
      <c r="G3" s="3" t="s">
        <v>6</v>
      </c>
      <c r="H3">
        <v>3.1415926540000001</v>
      </c>
    </row>
    <row r="4" spans="1:9">
      <c r="E4" s="2"/>
      <c r="F4" s="2"/>
    </row>
    <row r="5" spans="1:9">
      <c r="B5" t="s">
        <v>7</v>
      </c>
      <c r="E5" s="2"/>
      <c r="F5" s="2"/>
    </row>
    <row r="6" spans="1:9">
      <c r="D6" s="4"/>
    </row>
    <row r="7" spans="1:9">
      <c r="A7" s="5"/>
      <c r="B7" s="320" t="s">
        <v>8</v>
      </c>
      <c r="C7" s="320"/>
      <c r="D7" s="320" t="s">
        <v>9</v>
      </c>
      <c r="E7" s="320"/>
      <c r="F7" s="1"/>
      <c r="G7" s="1"/>
    </row>
    <row r="8" spans="1:9">
      <c r="A8" s="5" t="s">
        <v>10</v>
      </c>
      <c r="B8" s="5" t="s">
        <v>11</v>
      </c>
      <c r="C8" s="5" t="s">
        <v>12</v>
      </c>
      <c r="D8" s="5" t="s">
        <v>3</v>
      </c>
      <c r="E8" s="5" t="s">
        <v>13</v>
      </c>
      <c r="F8" s="1"/>
      <c r="G8" s="5" t="s">
        <v>14</v>
      </c>
      <c r="H8" s="5" t="s">
        <v>15</v>
      </c>
    </row>
    <row r="9" spans="1:9">
      <c r="F9" s="1"/>
      <c r="G9" s="1"/>
      <c r="H9" s="1"/>
    </row>
    <row r="10" spans="1:9">
      <c r="A10" s="6">
        <v>500</v>
      </c>
      <c r="B10" s="7">
        <v>0.1</v>
      </c>
      <c r="C10" s="1">
        <f>B10*1000</f>
        <v>100</v>
      </c>
      <c r="D10" s="8">
        <v>47</v>
      </c>
      <c r="E10" s="1">
        <f>D10*10^-8</f>
        <v>4.7E-7</v>
      </c>
      <c r="F10" s="1"/>
      <c r="G10" s="9">
        <f>1/(2*H3*C10*E10)</f>
        <v>3386.2753844917879</v>
      </c>
      <c r="H10" s="5" t="s">
        <v>10</v>
      </c>
      <c r="I10" t="s">
        <v>16</v>
      </c>
    </row>
    <row r="11" spans="1:9">
      <c r="A11" s="1"/>
      <c r="B11" s="1"/>
      <c r="C11" s="1"/>
      <c r="D11" s="1"/>
      <c r="E11" s="1"/>
      <c r="F11" s="1"/>
      <c r="G11" s="1"/>
      <c r="H11" s="5"/>
    </row>
    <row r="12" spans="1:9">
      <c r="A12" s="5" t="s">
        <v>17</v>
      </c>
      <c r="B12" s="5" t="s">
        <v>17</v>
      </c>
      <c r="C12" s="5"/>
      <c r="D12" s="5" t="s">
        <v>17</v>
      </c>
      <c r="F12" s="5" t="s">
        <v>18</v>
      </c>
      <c r="G12" s="5" t="s">
        <v>11</v>
      </c>
    </row>
    <row r="13" spans="1:9">
      <c r="A13" s="1"/>
      <c r="B13" s="1"/>
      <c r="C13" s="1"/>
      <c r="D13" s="1"/>
      <c r="E13" s="1"/>
      <c r="F13" s="10">
        <f>1/(2*H3*A10*E10)</f>
        <v>677.25507689835752</v>
      </c>
      <c r="G13" s="11">
        <f>F13*10^-3</f>
        <v>0.67725507689835751</v>
      </c>
      <c r="H13" s="5" t="s">
        <v>19</v>
      </c>
      <c r="I13" t="s">
        <v>20</v>
      </c>
    </row>
    <row r="14" spans="1:9">
      <c r="A14" s="1"/>
      <c r="B14" s="1"/>
      <c r="C14" s="1"/>
      <c r="D14" s="1"/>
      <c r="E14" s="1"/>
      <c r="F14" s="1"/>
      <c r="G14" s="1"/>
      <c r="H14" s="12"/>
    </row>
    <row r="15" spans="1:9">
      <c r="A15" s="1"/>
      <c r="B15" s="1"/>
      <c r="C15" s="1"/>
      <c r="D15" s="1"/>
      <c r="E15" s="1"/>
      <c r="F15" s="1"/>
      <c r="G15" s="1"/>
      <c r="H15" s="12"/>
    </row>
    <row r="16" spans="1:9">
      <c r="F16" s="5" t="s">
        <v>1</v>
      </c>
      <c r="G16" s="5" t="s">
        <v>3</v>
      </c>
      <c r="H16" s="5"/>
    </row>
    <row r="17" spans="6:9">
      <c r="F17" s="1">
        <f>1/(A10*2*H3*C10)</f>
        <v>3.1830988614222799E-6</v>
      </c>
      <c r="G17" s="13">
        <f>F17*10^8</f>
        <v>318.30988614222798</v>
      </c>
      <c r="H17" s="5" t="s">
        <v>21</v>
      </c>
      <c r="I17" t="s">
        <v>22</v>
      </c>
    </row>
    <row r="18" spans="6:9">
      <c r="F18" s="1"/>
      <c r="G18" s="1"/>
    </row>
  </sheetData>
  <mergeCells count="2">
    <mergeCell ref="B7:C7"/>
    <mergeCell ref="D7:E7"/>
  </mergeCells>
  <pageMargins left="0" right="0" top="0.39374999999999999" bottom="0.39374999999999999" header="0" footer="0"/>
  <headerFooter>
    <oddHeader>&amp;C&amp;A</oddHeader>
    <oddFooter>&amp;CPage &amp;P</oddFooter>
  </headerFooter>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464A0A-BD17-4920-B37F-1DBC298A5084}">
  <sheetPr codeName="Sheet15"/>
  <dimension ref="A3:G22"/>
  <sheetViews>
    <sheetView workbookViewId="0">
      <selection activeCell="C18" sqref="C18"/>
    </sheetView>
  </sheetViews>
  <sheetFormatPr defaultColWidth="9" defaultRowHeight="14"/>
  <cols>
    <col min="1" max="16384" width="9" style="83"/>
  </cols>
  <sheetData>
    <row r="3" spans="2:7">
      <c r="B3" s="304" t="s">
        <v>197</v>
      </c>
      <c r="C3" s="304"/>
      <c r="D3" s="304"/>
      <c r="E3" s="304"/>
      <c r="F3" s="304"/>
      <c r="G3" s="304"/>
    </row>
    <row r="5" spans="2:7">
      <c r="B5" s="304" t="s">
        <v>193</v>
      </c>
      <c r="C5" s="304"/>
      <c r="D5" s="304"/>
      <c r="E5" s="304" t="s">
        <v>194</v>
      </c>
      <c r="F5" s="304"/>
      <c r="G5" s="304"/>
    </row>
    <row r="6" spans="2:7">
      <c r="B6" s="83" t="s">
        <v>195</v>
      </c>
      <c r="C6" s="83" t="s">
        <v>196</v>
      </c>
      <c r="D6" s="83" t="s">
        <v>142</v>
      </c>
      <c r="E6" s="83" t="s">
        <v>40</v>
      </c>
      <c r="F6" s="83" t="s">
        <v>96</v>
      </c>
      <c r="G6" s="83" t="s">
        <v>44</v>
      </c>
    </row>
    <row r="8" spans="2:7">
      <c r="F8" s="83">
        <v>105</v>
      </c>
    </row>
    <row r="13" spans="2:7">
      <c r="B13" s="304" t="s">
        <v>198</v>
      </c>
      <c r="C13" s="304"/>
      <c r="D13" s="304"/>
      <c r="E13" s="304"/>
      <c r="F13" s="304"/>
      <c r="G13" s="304"/>
    </row>
    <row r="15" spans="2:7">
      <c r="B15" s="304" t="s">
        <v>193</v>
      </c>
      <c r="C15" s="304"/>
      <c r="D15" s="304"/>
      <c r="E15" s="304" t="s">
        <v>194</v>
      </c>
      <c r="F15" s="304"/>
      <c r="G15" s="304"/>
    </row>
    <row r="16" spans="2:7">
      <c r="B16" s="83" t="s">
        <v>195</v>
      </c>
      <c r="C16" s="83" t="s">
        <v>196</v>
      </c>
      <c r="D16" s="83" t="s">
        <v>142</v>
      </c>
      <c r="E16" s="83" t="s">
        <v>40</v>
      </c>
      <c r="F16" s="83" t="s">
        <v>96</v>
      </c>
      <c r="G16" s="83" t="s">
        <v>44</v>
      </c>
    </row>
    <row r="18" spans="1:7">
      <c r="B18" s="88">
        <f>SIN(E18)*(C18/SIN(F18))</f>
        <v>10.190191072472366</v>
      </c>
      <c r="C18" s="87">
        <v>50</v>
      </c>
      <c r="D18" s="88">
        <f>SIN(G18)*(C18/SIN(F18))</f>
        <v>10.190191072472366</v>
      </c>
      <c r="E18" s="88">
        <f>(180-F18)/2</f>
        <v>37.5</v>
      </c>
      <c r="F18" s="87">
        <v>105</v>
      </c>
      <c r="G18" s="88">
        <f>E18</f>
        <v>37.5</v>
      </c>
    </row>
    <row r="20" spans="1:7">
      <c r="A20" s="83" t="s">
        <v>199</v>
      </c>
    </row>
    <row r="21" spans="1:7">
      <c r="A21" s="83" t="s">
        <v>201</v>
      </c>
    </row>
    <row r="22" spans="1:7">
      <c r="A22" s="83" t="s">
        <v>200</v>
      </c>
      <c r="B22" s="83">
        <f>B18/(SIN(E18))</f>
        <v>-51.517962147399729</v>
      </c>
      <c r="C22" s="83">
        <f>C18/(SIN(F18))</f>
        <v>-51.517962147399729</v>
      </c>
      <c r="D22" s="83">
        <f>D18/(SIN(G18))</f>
        <v>-51.517962147399729</v>
      </c>
    </row>
  </sheetData>
  <mergeCells count="6">
    <mergeCell ref="B5:D5"/>
    <mergeCell ref="E5:G5"/>
    <mergeCell ref="B3:G3"/>
    <mergeCell ref="B13:G13"/>
    <mergeCell ref="B15:D15"/>
    <mergeCell ref="E15:G15"/>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957E58-1B93-4322-80AB-F4AEAE94C03A}">
  <sheetPr codeName="Sheet16"/>
  <dimension ref="A3:N38"/>
  <sheetViews>
    <sheetView topLeftCell="A13" workbookViewId="0">
      <selection activeCell="G42" sqref="G42"/>
    </sheetView>
  </sheetViews>
  <sheetFormatPr defaultRowHeight="14.5"/>
  <cols>
    <col min="1" max="2" width="8.6640625" style="89"/>
    <col min="3" max="3" width="12.83203125" style="89" bestFit="1" customWidth="1"/>
    <col min="4" max="16384" width="8.6640625" style="89"/>
  </cols>
  <sheetData>
    <row r="3" spans="1:13">
      <c r="C3" s="89" t="s">
        <v>202</v>
      </c>
    </row>
    <row r="8" spans="1:13" ht="15" thickBot="1">
      <c r="B8" s="92"/>
      <c r="C8" s="92"/>
      <c r="D8" s="92"/>
      <c r="E8" s="92"/>
      <c r="F8" s="92"/>
      <c r="J8" s="97">
        <v>0</v>
      </c>
      <c r="K8" s="97">
        <v>0</v>
      </c>
      <c r="L8" s="97"/>
      <c r="M8" s="97"/>
    </row>
    <row r="9" spans="1:13">
      <c r="A9" s="90"/>
      <c r="B9" s="100"/>
      <c r="C9" s="101"/>
      <c r="D9" s="101"/>
      <c r="E9" s="101"/>
      <c r="F9" s="102"/>
      <c r="G9" s="91"/>
      <c r="J9" s="89">
        <v>13</v>
      </c>
      <c r="K9" s="89">
        <v>5</v>
      </c>
    </row>
    <row r="10" spans="1:13">
      <c r="A10" s="90"/>
      <c r="B10" s="103"/>
      <c r="C10" s="89" t="s">
        <v>204</v>
      </c>
      <c r="F10" s="104"/>
      <c r="G10" s="91"/>
      <c r="J10" s="89">
        <v>26</v>
      </c>
      <c r="K10" s="89">
        <v>10</v>
      </c>
    </row>
    <row r="11" spans="1:13" ht="15" thickBot="1">
      <c r="A11" s="90"/>
      <c r="B11" s="103"/>
      <c r="C11" s="92"/>
      <c r="D11" s="92"/>
      <c r="E11" s="92"/>
      <c r="F11" s="104"/>
      <c r="G11" s="91"/>
      <c r="J11" s="89">
        <v>39</v>
      </c>
      <c r="K11" s="89">
        <v>15</v>
      </c>
    </row>
    <row r="12" spans="1:13" ht="15" thickBot="1">
      <c r="A12" s="90"/>
      <c r="B12" s="105"/>
      <c r="C12" s="94" t="s">
        <v>206</v>
      </c>
      <c r="D12" s="95" t="s">
        <v>207</v>
      </c>
      <c r="E12" s="96" t="s">
        <v>45</v>
      </c>
      <c r="F12" s="106"/>
      <c r="G12" s="91"/>
      <c r="H12" s="89" t="s">
        <v>210</v>
      </c>
      <c r="J12" s="89">
        <v>52</v>
      </c>
      <c r="K12" s="89">
        <v>20</v>
      </c>
    </row>
    <row r="13" spans="1:13">
      <c r="A13" s="90"/>
      <c r="B13" s="103"/>
      <c r="C13" s="93"/>
      <c r="D13" s="93"/>
      <c r="E13" s="93"/>
      <c r="F13" s="104"/>
      <c r="G13" s="91"/>
      <c r="J13" s="97">
        <v>65</v>
      </c>
      <c r="K13" s="97">
        <v>25</v>
      </c>
      <c r="L13" s="97"/>
    </row>
    <row r="14" spans="1:13">
      <c r="A14" s="90"/>
      <c r="B14" s="103"/>
      <c r="C14" s="98">
        <f>(255/360)*C24</f>
        <v>0</v>
      </c>
      <c r="D14" s="98">
        <f>(255/100)*D24</f>
        <v>204</v>
      </c>
      <c r="E14" s="98">
        <f>(255/100)*E24</f>
        <v>181.04999999999998</v>
      </c>
      <c r="F14" s="104"/>
      <c r="G14" s="91"/>
      <c r="J14" s="89">
        <v>78</v>
      </c>
      <c r="K14" s="89">
        <v>30</v>
      </c>
    </row>
    <row r="15" spans="1:13">
      <c r="A15" s="90"/>
      <c r="B15" s="103"/>
      <c r="F15" s="104"/>
      <c r="G15" s="91"/>
      <c r="J15" s="89">
        <v>91</v>
      </c>
      <c r="K15" s="89">
        <v>35</v>
      </c>
    </row>
    <row r="16" spans="1:13">
      <c r="A16" s="90"/>
      <c r="B16" s="103"/>
      <c r="C16" s="99">
        <v>21</v>
      </c>
      <c r="D16" s="99">
        <f>D14</f>
        <v>204</v>
      </c>
      <c r="E16" s="99">
        <f>E14</f>
        <v>181.04999999999998</v>
      </c>
      <c r="F16" s="104"/>
      <c r="G16" s="91"/>
      <c r="J16" s="89">
        <v>104</v>
      </c>
      <c r="K16" s="89">
        <v>40</v>
      </c>
    </row>
    <row r="17" spans="1:14">
      <c r="A17" s="90"/>
      <c r="B17" s="103"/>
      <c r="F17" s="104"/>
      <c r="G17" s="91"/>
      <c r="J17" s="89">
        <v>117</v>
      </c>
      <c r="K17" s="89">
        <v>45</v>
      </c>
    </row>
    <row r="18" spans="1:14">
      <c r="A18" s="90"/>
      <c r="B18" s="105"/>
      <c r="C18" s="89" t="s">
        <v>205</v>
      </c>
      <c r="F18" s="106"/>
      <c r="G18" s="91"/>
      <c r="J18" s="97">
        <v>130</v>
      </c>
      <c r="K18" s="97">
        <v>50</v>
      </c>
      <c r="L18" s="97"/>
      <c r="M18" s="97"/>
      <c r="N18" s="97"/>
    </row>
    <row r="19" spans="1:14" ht="15" thickBot="1">
      <c r="A19" s="90"/>
      <c r="B19" s="103"/>
      <c r="C19" s="92" t="s">
        <v>208</v>
      </c>
      <c r="D19" s="92" t="s">
        <v>209</v>
      </c>
      <c r="E19" s="92" t="s">
        <v>209</v>
      </c>
      <c r="F19" s="104"/>
      <c r="G19" s="91"/>
      <c r="J19" s="89">
        <v>143</v>
      </c>
      <c r="K19" s="89">
        <v>55</v>
      </c>
    </row>
    <row r="20" spans="1:14" ht="15" thickBot="1">
      <c r="A20" s="90"/>
      <c r="B20" s="103"/>
      <c r="C20" s="94" t="s">
        <v>206</v>
      </c>
      <c r="D20" s="95" t="s">
        <v>207</v>
      </c>
      <c r="E20" s="96" t="s">
        <v>45</v>
      </c>
      <c r="F20" s="104"/>
      <c r="G20" s="91"/>
      <c r="J20" s="89">
        <v>156</v>
      </c>
      <c r="K20" s="89">
        <v>60</v>
      </c>
    </row>
    <row r="21" spans="1:14">
      <c r="A21" s="90"/>
      <c r="B21" s="103"/>
      <c r="C21" s="93"/>
      <c r="D21" s="93"/>
      <c r="E21" s="93"/>
      <c r="F21" s="104"/>
      <c r="G21" s="91"/>
      <c r="J21" s="89">
        <v>169</v>
      </c>
      <c r="K21" s="89">
        <v>65</v>
      </c>
    </row>
    <row r="22" spans="1:14">
      <c r="A22" s="90"/>
      <c r="B22" s="103"/>
      <c r="C22" s="89">
        <f>C16*360/255</f>
        <v>29.647058823529413</v>
      </c>
      <c r="D22" s="89">
        <f>D16/255*100</f>
        <v>80</v>
      </c>
      <c r="E22" s="89">
        <f>E16/255*100</f>
        <v>71</v>
      </c>
      <c r="F22" s="104"/>
      <c r="G22" s="91"/>
      <c r="J22" s="89">
        <v>182</v>
      </c>
      <c r="K22" s="89">
        <v>70</v>
      </c>
    </row>
    <row r="23" spans="1:14">
      <c r="A23" s="90"/>
      <c r="B23" s="103"/>
      <c r="F23" s="104"/>
      <c r="G23" s="91"/>
      <c r="J23" s="97">
        <v>195</v>
      </c>
      <c r="K23" s="97">
        <v>75</v>
      </c>
      <c r="L23" s="97"/>
    </row>
    <row r="24" spans="1:14">
      <c r="A24" s="90"/>
      <c r="B24" s="103"/>
      <c r="C24" s="97">
        <v>0</v>
      </c>
      <c r="D24" s="97">
        <v>80</v>
      </c>
      <c r="E24" s="97">
        <v>71</v>
      </c>
      <c r="F24" s="104"/>
      <c r="G24" s="91"/>
      <c r="J24" s="89">
        <v>208</v>
      </c>
      <c r="K24" s="89">
        <v>80</v>
      </c>
    </row>
    <row r="25" spans="1:14">
      <c r="A25" s="90"/>
      <c r="B25" s="103"/>
      <c r="F25" s="104"/>
      <c r="G25" s="91"/>
      <c r="J25" s="89">
        <v>221</v>
      </c>
      <c r="K25" s="89">
        <v>85</v>
      </c>
    </row>
    <row r="26" spans="1:14">
      <c r="A26" s="90"/>
      <c r="B26" s="103"/>
      <c r="F26" s="104"/>
      <c r="G26" s="91"/>
      <c r="J26" s="89">
        <v>234</v>
      </c>
      <c r="K26" s="89">
        <v>90</v>
      </c>
    </row>
    <row r="27" spans="1:14" ht="15" thickBot="1">
      <c r="A27" s="90"/>
      <c r="B27" s="107"/>
      <c r="C27" s="108"/>
      <c r="D27" s="108"/>
      <c r="E27" s="108"/>
      <c r="F27" s="109"/>
      <c r="G27" s="91"/>
      <c r="J27" s="89">
        <v>247</v>
      </c>
      <c r="K27" s="89">
        <v>95</v>
      </c>
    </row>
    <row r="28" spans="1:14">
      <c r="J28" s="97">
        <v>260</v>
      </c>
      <c r="K28" s="97">
        <v>100</v>
      </c>
      <c r="L28" s="97"/>
      <c r="M28" s="97"/>
    </row>
    <row r="30" spans="1:14">
      <c r="C30" s="89" t="s">
        <v>203</v>
      </c>
    </row>
    <row r="32" spans="1:14">
      <c r="C32" s="89" t="s">
        <v>223</v>
      </c>
      <c r="D32" s="89" t="s">
        <v>224</v>
      </c>
      <c r="E32" s="89" t="s">
        <v>96</v>
      </c>
    </row>
    <row r="33" spans="2:6">
      <c r="B33" s="89" t="s">
        <v>230</v>
      </c>
    </row>
    <row r="34" spans="2:6">
      <c r="B34" s="89" t="s">
        <v>231</v>
      </c>
      <c r="C34" s="126"/>
      <c r="D34" s="126"/>
      <c r="E34" s="126"/>
    </row>
    <row r="37" spans="2:6">
      <c r="B37" s="89" t="s">
        <v>232</v>
      </c>
      <c r="C37" s="126">
        <v>12</v>
      </c>
      <c r="D37" s="126">
        <v>42</v>
      </c>
      <c r="E37" s="126">
        <v>255</v>
      </c>
      <c r="F37" s="125"/>
    </row>
    <row r="38" spans="2:6">
      <c r="B38" s="89" t="s">
        <v>233</v>
      </c>
      <c r="C38" s="89">
        <f>C37/255</f>
        <v>4.7058823529411764E-2</v>
      </c>
      <c r="D38" s="89">
        <f t="shared" ref="D38:E38" si="0">D37/255</f>
        <v>0.16470588235294117</v>
      </c>
      <c r="E38" s="89">
        <f t="shared" si="0"/>
        <v>1</v>
      </c>
    </row>
  </sheetData>
  <pageMargins left="0.7" right="0.7" top="0.75" bottom="0.75" header="0.3" footer="0.3"/>
  <pageSetup paperSize="9"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498046-AF95-401A-93B3-2E88E9D41500}">
  <sheetPr codeName="Sheet17"/>
  <dimension ref="B1:U56"/>
  <sheetViews>
    <sheetView workbookViewId="0">
      <selection activeCell="G53" sqref="G53"/>
    </sheetView>
  </sheetViews>
  <sheetFormatPr defaultRowHeight="14.5"/>
  <cols>
    <col min="1" max="2" width="8.6640625" style="127"/>
    <col min="3" max="3" width="17.9140625" style="135" bestFit="1" customWidth="1"/>
    <col min="4" max="4" width="10.75" style="135" bestFit="1" customWidth="1"/>
    <col min="5" max="6" width="8.83203125" style="135" bestFit="1" customWidth="1"/>
    <col min="7" max="9" width="8.6640625" style="127"/>
    <col min="10" max="10" width="21" style="127" bestFit="1" customWidth="1"/>
    <col min="11" max="11" width="19.9140625" style="127" bestFit="1" customWidth="1"/>
    <col min="12" max="12" width="21" style="127" bestFit="1" customWidth="1"/>
    <col min="13" max="13" width="8.75" style="127" bestFit="1" customWidth="1"/>
    <col min="14" max="14" width="9.75" style="127" bestFit="1" customWidth="1"/>
    <col min="15" max="15" width="8.6640625" style="127"/>
    <col min="16" max="17" width="11.75" style="127" bestFit="1" customWidth="1"/>
    <col min="18" max="18" width="10.5" style="127" customWidth="1"/>
    <col min="19" max="16384" width="8.6640625" style="127"/>
  </cols>
  <sheetData>
    <row r="1" spans="2:20">
      <c r="K1" s="127" t="s">
        <v>252</v>
      </c>
      <c r="L1" s="127">
        <f>IF(L4&lt;&gt;0,1000, IF(L5&lt;&gt;0,1000000,IF(L6&lt;&gt;0,1000000000,0)))</f>
        <v>1000000000</v>
      </c>
    </row>
    <row r="3" spans="2:20" ht="15" thickBot="1">
      <c r="C3" s="321" t="s">
        <v>234</v>
      </c>
      <c r="D3" s="134" t="s">
        <v>235</v>
      </c>
      <c r="I3" s="153" t="s">
        <v>244</v>
      </c>
      <c r="J3" s="147">
        <f>L3</f>
        <v>19000000000</v>
      </c>
      <c r="K3" s="127" t="s">
        <v>248</v>
      </c>
      <c r="L3" s="158">
        <f>IF(L4&lt;&gt;0,L4*L1,IF(L5&lt;&gt;0,L5*L1,IF(L6&lt;&gt;0,L6*L1,0)))</f>
        <v>19000000000</v>
      </c>
      <c r="N3" s="127" t="s">
        <v>155</v>
      </c>
      <c r="O3" s="133">
        <v>2.5</v>
      </c>
      <c r="P3" s="173">
        <f>P5*1000</f>
        <v>52.631578947368418</v>
      </c>
    </row>
    <row r="4" spans="2:20">
      <c r="C4" s="322"/>
      <c r="D4" s="136" t="s">
        <v>236</v>
      </c>
      <c r="I4" s="153" t="s">
        <v>245</v>
      </c>
      <c r="J4" s="148">
        <f>J3/1000</f>
        <v>19000000</v>
      </c>
      <c r="K4" s="127" t="s">
        <v>249</v>
      </c>
      <c r="L4" s="157"/>
      <c r="N4" s="127" t="s">
        <v>154</v>
      </c>
      <c r="O4" s="132">
        <f>O3/10</f>
        <v>0.25</v>
      </c>
      <c r="P4" s="174">
        <f>P5*100</f>
        <v>5.2631578947368416</v>
      </c>
    </row>
    <row r="5" spans="2:20">
      <c r="I5" s="153" t="s">
        <v>246</v>
      </c>
      <c r="J5" s="149">
        <f>J4/1000</f>
        <v>19000</v>
      </c>
      <c r="K5" s="127" t="s">
        <v>250</v>
      </c>
      <c r="L5" s="155"/>
      <c r="N5" s="127" t="s">
        <v>152</v>
      </c>
      <c r="O5" s="151">
        <f>O4/100</f>
        <v>2.5000000000000001E-3</v>
      </c>
      <c r="P5" s="133">
        <f>M24</f>
        <v>5.2631578947368418E-2</v>
      </c>
    </row>
    <row r="6" spans="2:20">
      <c r="I6" s="153" t="s">
        <v>247</v>
      </c>
      <c r="J6" s="150">
        <f>J5/1000</f>
        <v>19</v>
      </c>
      <c r="K6" s="127" t="s">
        <v>251</v>
      </c>
      <c r="L6" s="156">
        <v>19</v>
      </c>
      <c r="N6" s="127" t="s">
        <v>243</v>
      </c>
      <c r="O6" s="152">
        <f>O5/1000</f>
        <v>2.5000000000000002E-6</v>
      </c>
      <c r="P6" s="172"/>
    </row>
    <row r="7" spans="2:20" ht="15" thickBot="1">
      <c r="C7" s="321" t="s">
        <v>237</v>
      </c>
      <c r="D7" s="134" t="s">
        <v>253</v>
      </c>
    </row>
    <row r="8" spans="2:20">
      <c r="C8" s="322"/>
      <c r="D8" s="136" t="s">
        <v>254</v>
      </c>
    </row>
    <row r="10" spans="2:20">
      <c r="P10" s="127" t="s">
        <v>261</v>
      </c>
      <c r="Q10" s="323" t="s">
        <v>267</v>
      </c>
      <c r="R10" s="324"/>
      <c r="S10" s="324"/>
      <c r="T10" s="325"/>
    </row>
    <row r="11" spans="2:20">
      <c r="C11" s="167" t="s">
        <v>263</v>
      </c>
      <c r="Q11" s="167" t="s">
        <v>268</v>
      </c>
    </row>
    <row r="12" spans="2:20" ht="15" thickBot="1">
      <c r="C12" s="137" t="s">
        <v>241</v>
      </c>
      <c r="D12" s="137" t="s">
        <v>240</v>
      </c>
      <c r="E12" s="137" t="s">
        <v>242</v>
      </c>
      <c r="F12" s="137" t="s">
        <v>152</v>
      </c>
      <c r="J12" s="168" t="s">
        <v>264</v>
      </c>
      <c r="K12" s="129" t="s">
        <v>258</v>
      </c>
      <c r="L12" s="129" t="s">
        <v>259</v>
      </c>
      <c r="M12" s="129" t="s">
        <v>253</v>
      </c>
      <c r="P12" s="129" t="s">
        <v>270</v>
      </c>
      <c r="Q12" s="129" t="s">
        <v>262</v>
      </c>
      <c r="R12" s="168" t="s">
        <v>264</v>
      </c>
    </row>
    <row r="13" spans="2:20" ht="15" thickBot="1">
      <c r="B13" s="163"/>
      <c r="C13" s="138" t="s">
        <v>265</v>
      </c>
      <c r="D13" s="139" t="s">
        <v>235</v>
      </c>
      <c r="E13" s="139" t="s">
        <v>236</v>
      </c>
      <c r="F13" s="140" t="s">
        <v>239</v>
      </c>
      <c r="G13" s="165"/>
      <c r="I13" s="163"/>
      <c r="J13" s="159" t="s">
        <v>266</v>
      </c>
      <c r="K13" s="160" t="s">
        <v>255</v>
      </c>
      <c r="L13" s="160" t="s">
        <v>256</v>
      </c>
      <c r="M13" s="161" t="s">
        <v>257</v>
      </c>
      <c r="N13" s="165"/>
      <c r="O13" s="163"/>
      <c r="P13" s="159" t="s">
        <v>238</v>
      </c>
      <c r="Q13" s="160" t="s">
        <v>269</v>
      </c>
      <c r="R13" s="161" t="s">
        <v>260</v>
      </c>
      <c r="S13" s="165"/>
    </row>
    <row r="14" spans="2:20">
      <c r="C14" s="136"/>
      <c r="D14" s="136"/>
      <c r="E14" s="136"/>
      <c r="F14" s="136"/>
      <c r="J14" s="128"/>
      <c r="K14" s="128"/>
      <c r="L14" s="128"/>
      <c r="M14" s="128"/>
      <c r="P14" s="128"/>
      <c r="Q14" s="128"/>
      <c r="R14" s="128"/>
    </row>
    <row r="15" spans="2:20">
      <c r="C15" s="141">
        <f>D15/E15</f>
        <v>1600</v>
      </c>
      <c r="D15" s="142">
        <v>800</v>
      </c>
      <c r="E15" s="142">
        <v>0.5</v>
      </c>
      <c r="F15" s="143"/>
      <c r="J15" s="166">
        <f>M15/K15</f>
        <v>11.487500000000001</v>
      </c>
      <c r="K15" s="133">
        <v>10</v>
      </c>
      <c r="L15" s="133">
        <v>124.875</v>
      </c>
      <c r="M15" s="127">
        <f>L15-K15</f>
        <v>114.875</v>
      </c>
      <c r="P15" s="169">
        <f>Q15*R15</f>
        <v>0</v>
      </c>
      <c r="Q15" s="133">
        <v>19000000000</v>
      </c>
      <c r="R15" s="133"/>
    </row>
    <row r="16" spans="2:20">
      <c r="C16" s="141">
        <f>D16/E16</f>
        <v>101859.16357881301</v>
      </c>
      <c r="D16" s="142">
        <v>200</v>
      </c>
      <c r="E16" s="143">
        <f>PI()*(F16^2)</f>
        <v>1.9634954084936209E-3</v>
      </c>
      <c r="F16" s="142">
        <v>2.5000000000000001E-2</v>
      </c>
      <c r="K16" s="133"/>
      <c r="L16" s="127">
        <f>K16+M16</f>
        <v>0</v>
      </c>
      <c r="M16" s="133"/>
    </row>
    <row r="17" spans="3:18">
      <c r="C17" s="143"/>
      <c r="D17" s="143"/>
      <c r="E17" s="143"/>
      <c r="F17" s="143"/>
      <c r="K17" s="127">
        <f>L17-M17</f>
        <v>0</v>
      </c>
      <c r="L17" s="133"/>
      <c r="M17" s="133"/>
      <c r="P17" s="133"/>
      <c r="Q17" s="170" t="e">
        <f>P17/R17</f>
        <v>#DIV/0!</v>
      </c>
      <c r="R17" s="133"/>
    </row>
    <row r="18" spans="3:18">
      <c r="C18" s="142"/>
      <c r="D18" s="144"/>
      <c r="E18" s="142"/>
      <c r="F18" s="143"/>
      <c r="K18" s="132"/>
    </row>
    <row r="19" spans="3:18">
      <c r="C19" s="143"/>
      <c r="D19" s="144"/>
      <c r="E19" s="142"/>
      <c r="F19" s="142"/>
      <c r="P19" s="133">
        <v>-100000000</v>
      </c>
      <c r="Q19" s="133">
        <f>Q15</f>
        <v>19000000000</v>
      </c>
      <c r="R19" s="171">
        <f>P19/Q19</f>
        <v>-5.263157894736842E-3</v>
      </c>
    </row>
    <row r="20" spans="3:18">
      <c r="C20" s="143"/>
      <c r="D20" s="143"/>
      <c r="E20" s="143"/>
      <c r="F20" s="143"/>
    </row>
    <row r="21" spans="3:18">
      <c r="C21" s="142"/>
      <c r="D21" s="142"/>
      <c r="E21" s="145"/>
      <c r="F21" s="143"/>
      <c r="L21" s="154"/>
    </row>
    <row r="22" spans="3:18">
      <c r="C22" s="143"/>
      <c r="D22" s="142"/>
      <c r="E22" s="145"/>
      <c r="F22" s="142"/>
    </row>
    <row r="23" spans="3:18">
      <c r="C23" s="143"/>
      <c r="D23" s="143"/>
      <c r="E23" s="143"/>
      <c r="F23" s="143"/>
    </row>
    <row r="24" spans="3:18">
      <c r="C24" s="142"/>
      <c r="D24" s="142"/>
      <c r="E24" s="143"/>
      <c r="F24" s="146"/>
      <c r="J24" s="133">
        <f>R19*-1</f>
        <v>5.263157894736842E-3</v>
      </c>
      <c r="K24" s="133">
        <v>10</v>
      </c>
      <c r="L24" s="127">
        <f>K24+M24</f>
        <v>10.052631578947368</v>
      </c>
      <c r="M24" s="162">
        <f>J24*K24</f>
        <v>5.2631578947368418E-2</v>
      </c>
    </row>
    <row r="25" spans="3:18">
      <c r="C25" s="143"/>
      <c r="D25" s="142"/>
      <c r="E25" s="142"/>
      <c r="F25" s="146"/>
    </row>
    <row r="26" spans="3:18">
      <c r="C26" s="143"/>
      <c r="D26" s="143"/>
      <c r="E26" s="143"/>
      <c r="F26" s="143"/>
    </row>
    <row r="27" spans="3:18">
      <c r="C27" s="143"/>
      <c r="D27" s="143"/>
      <c r="E27" s="143"/>
      <c r="F27" s="143"/>
    </row>
    <row r="28" spans="3:18">
      <c r="C28" s="143"/>
      <c r="D28" s="143"/>
      <c r="E28" s="143"/>
      <c r="F28" s="143"/>
    </row>
    <row r="29" spans="3:18" ht="15" thickBot="1">
      <c r="C29" s="178" t="s">
        <v>273</v>
      </c>
      <c r="D29" s="143"/>
      <c r="E29" s="143"/>
      <c r="F29" s="143"/>
      <c r="J29" s="129"/>
      <c r="K29" s="129"/>
      <c r="L29" s="129"/>
      <c r="M29" s="129"/>
      <c r="N29" s="129"/>
      <c r="O29" s="129"/>
    </row>
    <row r="30" spans="3:18" ht="15" thickBot="1">
      <c r="C30" s="135" t="s">
        <v>271</v>
      </c>
      <c r="D30" s="177" t="s">
        <v>272</v>
      </c>
      <c r="I30" s="163"/>
      <c r="J30" s="179" t="s">
        <v>280</v>
      </c>
      <c r="K30" s="180" t="s">
        <v>282</v>
      </c>
      <c r="L30" s="180" t="s">
        <v>281</v>
      </c>
      <c r="M30" s="183" t="s">
        <v>279</v>
      </c>
      <c r="N30" s="181" t="s">
        <v>283</v>
      </c>
      <c r="O30" s="187" t="s">
        <v>262</v>
      </c>
      <c r="P30" s="165"/>
    </row>
    <row r="31" spans="3:18">
      <c r="C31" s="175"/>
      <c r="J31" s="128"/>
      <c r="K31" s="128"/>
      <c r="L31" s="128"/>
      <c r="M31" s="128"/>
      <c r="N31" s="128"/>
      <c r="O31" s="128"/>
    </row>
    <row r="32" spans="3:18" ht="15" thickBot="1">
      <c r="C32" s="326" t="s">
        <v>274</v>
      </c>
      <c r="D32" s="328" t="s">
        <v>275</v>
      </c>
      <c r="E32" s="329"/>
      <c r="J32" s="182">
        <f>(-K32)/L32</f>
        <v>0</v>
      </c>
      <c r="K32" s="155"/>
      <c r="L32" s="155">
        <v>1.5789473684210526E-3</v>
      </c>
    </row>
    <row r="33" spans="3:15">
      <c r="C33" s="327"/>
      <c r="D33" s="330" t="s">
        <v>276</v>
      </c>
      <c r="E33" s="331"/>
    </row>
    <row r="35" spans="3:15" ht="15" thickBot="1">
      <c r="C35" s="326" t="s">
        <v>274</v>
      </c>
      <c r="D35" s="190" t="s">
        <v>289</v>
      </c>
      <c r="E35" s="332" t="s">
        <v>277</v>
      </c>
      <c r="F35" s="191" t="s">
        <v>290</v>
      </c>
    </row>
    <row r="36" spans="3:15">
      <c r="C36" s="327"/>
      <c r="D36" s="136" t="s">
        <v>278</v>
      </c>
      <c r="E36" s="333"/>
      <c r="F36" s="136" t="s">
        <v>279</v>
      </c>
      <c r="J36" s="155">
        <v>0.15</v>
      </c>
      <c r="K36" s="192">
        <f>(L36*J36)*-1</f>
        <v>7.894736842105263E-4</v>
      </c>
      <c r="L36" s="127">
        <v>-5.263157894736842E-3</v>
      </c>
    </row>
    <row r="39" spans="3:15" ht="15" thickBot="1">
      <c r="C39" s="326" t="s">
        <v>284</v>
      </c>
      <c r="D39" s="185" t="s">
        <v>283</v>
      </c>
    </row>
    <row r="40" spans="3:15">
      <c r="C40" s="327"/>
      <c r="D40" s="136" t="s">
        <v>262</v>
      </c>
      <c r="J40" s="155"/>
      <c r="L40" s="189">
        <f>N40/O40</f>
        <v>4.7619047619047619E-4</v>
      </c>
      <c r="N40" s="155">
        <v>100000000</v>
      </c>
      <c r="O40" s="155">
        <v>210000000000</v>
      </c>
    </row>
    <row r="43" spans="3:15" ht="15" thickBot="1">
      <c r="D43" s="321" t="s">
        <v>285</v>
      </c>
      <c r="E43" s="321" t="s">
        <v>286</v>
      </c>
      <c r="F43" s="184" t="s">
        <v>287</v>
      </c>
    </row>
    <row r="44" spans="3:15">
      <c r="D44" s="322"/>
      <c r="E44" s="322"/>
      <c r="F44" s="136"/>
      <c r="M44" s="188"/>
    </row>
    <row r="48" spans="3:15">
      <c r="N48" s="186"/>
    </row>
    <row r="56" spans="21:21">
      <c r="U56" s="127" t="s">
        <v>288</v>
      </c>
    </row>
  </sheetData>
  <mergeCells count="11">
    <mergeCell ref="C35:C36"/>
    <mergeCell ref="E35:E36"/>
    <mergeCell ref="C39:C40"/>
    <mergeCell ref="D43:D44"/>
    <mergeCell ref="E43:E44"/>
    <mergeCell ref="C3:C4"/>
    <mergeCell ref="C7:C8"/>
    <mergeCell ref="Q10:T10"/>
    <mergeCell ref="C32:C33"/>
    <mergeCell ref="D32:E32"/>
    <mergeCell ref="D33:E33"/>
  </mergeCells>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F12FE9-35EC-4053-9507-A1B97EC373E8}">
  <sheetPr codeName="Sheet2">
    <tabColor rgb="FFFF0000"/>
  </sheetPr>
  <dimension ref="A1:BB155"/>
  <sheetViews>
    <sheetView zoomScaleNormal="100" workbookViewId="0">
      <selection activeCell="I53" sqref="I53"/>
    </sheetView>
  </sheetViews>
  <sheetFormatPr defaultColWidth="8.58203125" defaultRowHeight="14.5"/>
  <cols>
    <col min="1" max="1" width="8.58203125" style="27"/>
    <col min="2" max="2" width="12.25" style="29" bestFit="1" customWidth="1"/>
    <col min="3" max="3" width="8.58203125" style="27"/>
    <col min="4" max="4" width="10.58203125" style="29" bestFit="1" customWidth="1"/>
    <col min="5" max="5" width="8.58203125" style="27"/>
    <col min="6" max="6" width="10.25" style="29" bestFit="1" customWidth="1"/>
    <col min="7" max="7" width="8.58203125" style="27"/>
    <col min="8" max="10" width="10.25" style="29" bestFit="1" customWidth="1"/>
    <col min="11" max="16384" width="8.58203125" style="29"/>
  </cols>
  <sheetData>
    <row r="1" spans="2:30">
      <c r="B1" s="28"/>
      <c r="D1" s="28"/>
      <c r="F1" s="28"/>
      <c r="H1" s="28"/>
      <c r="I1" s="27"/>
      <c r="J1" s="38" t="s">
        <v>45</v>
      </c>
      <c r="K1" s="38"/>
      <c r="L1" s="38" t="s">
        <v>40</v>
      </c>
      <c r="M1" s="38"/>
      <c r="N1" s="38" t="s">
        <v>18</v>
      </c>
      <c r="O1" s="38"/>
      <c r="P1" s="38" t="s">
        <v>46</v>
      </c>
      <c r="Q1" s="27"/>
      <c r="R1" s="27"/>
      <c r="S1" s="27"/>
      <c r="T1" s="27"/>
      <c r="U1" s="27"/>
      <c r="V1" s="27"/>
      <c r="W1" s="27"/>
      <c r="X1" s="27"/>
      <c r="Y1" s="27"/>
      <c r="Z1" s="27"/>
      <c r="AA1" s="27"/>
      <c r="AB1" s="27"/>
      <c r="AC1" s="27"/>
      <c r="AD1" s="27"/>
    </row>
    <row r="2" spans="2:30">
      <c r="B2" s="30" t="s">
        <v>59</v>
      </c>
      <c r="D2" s="31" t="s">
        <v>60</v>
      </c>
      <c r="F2" s="32" t="s">
        <v>61</v>
      </c>
      <c r="H2" s="33" t="s">
        <v>65</v>
      </c>
      <c r="I2" s="27"/>
      <c r="J2" s="38" t="s">
        <v>62</v>
      </c>
      <c r="K2" s="38"/>
      <c r="L2" s="38" t="s">
        <v>63</v>
      </c>
      <c r="M2" s="38"/>
      <c r="N2" s="38" t="s">
        <v>19</v>
      </c>
      <c r="O2" s="38"/>
      <c r="P2" s="38" t="s">
        <v>64</v>
      </c>
      <c r="Q2" s="27"/>
      <c r="R2" s="27"/>
      <c r="S2" s="27"/>
      <c r="T2" s="27"/>
      <c r="U2" s="27"/>
      <c r="V2" s="27"/>
      <c r="W2" s="27"/>
      <c r="X2" s="27"/>
      <c r="Y2" s="27"/>
      <c r="Z2" s="27"/>
      <c r="AA2" s="27"/>
      <c r="AB2" s="27"/>
      <c r="AC2" s="27"/>
      <c r="AD2" s="27"/>
    </row>
    <row r="3" spans="2:30">
      <c r="B3" s="30" t="s">
        <v>71</v>
      </c>
      <c r="D3" s="31" t="s">
        <v>69</v>
      </c>
      <c r="F3" s="32" t="s">
        <v>70</v>
      </c>
      <c r="H3" s="33" t="s">
        <v>67</v>
      </c>
      <c r="I3" s="27"/>
      <c r="J3" s="27"/>
      <c r="K3" s="27"/>
      <c r="L3" s="27"/>
      <c r="M3" s="27"/>
      <c r="N3" s="27"/>
      <c r="O3" s="27"/>
      <c r="P3" s="27"/>
      <c r="Q3" s="27"/>
      <c r="R3" s="27"/>
      <c r="S3" s="27"/>
      <c r="T3" s="27"/>
      <c r="U3" s="27"/>
      <c r="V3" s="27"/>
      <c r="W3" s="27"/>
      <c r="X3" s="27"/>
      <c r="Y3" s="27"/>
      <c r="Z3" s="27"/>
      <c r="AA3" s="27"/>
      <c r="AB3" s="27"/>
      <c r="AC3" s="27"/>
      <c r="AD3" s="27"/>
    </row>
    <row r="4" spans="2:30">
      <c r="B4" s="30" t="s">
        <v>73</v>
      </c>
      <c r="D4" s="31" t="s">
        <v>74</v>
      </c>
      <c r="F4" s="32" t="s">
        <v>72</v>
      </c>
      <c r="H4" s="33" t="s">
        <v>66</v>
      </c>
      <c r="I4" s="27"/>
      <c r="J4" s="34">
        <v>5.5</v>
      </c>
      <c r="K4" s="27"/>
      <c r="L4" s="34"/>
      <c r="M4" s="27"/>
      <c r="N4" s="34">
        <v>2</v>
      </c>
      <c r="O4" s="27"/>
      <c r="P4" s="34"/>
      <c r="Q4" s="27"/>
      <c r="R4" s="27"/>
      <c r="S4" s="27"/>
      <c r="T4" s="27"/>
      <c r="U4" s="27"/>
      <c r="V4" s="27"/>
      <c r="W4" s="27"/>
      <c r="X4" s="27"/>
      <c r="Y4" s="27"/>
      <c r="Z4" s="27"/>
      <c r="AA4" s="27"/>
      <c r="AB4" s="27"/>
      <c r="AC4" s="27"/>
      <c r="AD4" s="27"/>
    </row>
    <row r="5" spans="2:30">
      <c r="B5" s="27"/>
      <c r="D5" s="27"/>
      <c r="F5" s="27"/>
      <c r="H5" s="27"/>
      <c r="I5" s="27"/>
      <c r="J5" s="27"/>
      <c r="K5" s="27"/>
      <c r="L5" s="27"/>
      <c r="M5" s="27"/>
      <c r="N5" s="27"/>
      <c r="O5" s="27"/>
      <c r="P5" s="27"/>
      <c r="Q5" s="27"/>
      <c r="R5" s="27"/>
      <c r="S5" s="27"/>
      <c r="T5" s="27"/>
      <c r="U5" s="27"/>
      <c r="V5" s="27"/>
      <c r="W5" s="27"/>
      <c r="X5" s="27"/>
      <c r="Y5" s="27"/>
      <c r="Z5" s="27"/>
      <c r="AA5" s="27"/>
      <c r="AB5" s="27"/>
      <c r="AC5" s="27"/>
      <c r="AD5" s="27"/>
    </row>
    <row r="6" spans="2:30">
      <c r="B6" s="38" t="s">
        <v>45</v>
      </c>
      <c r="C6" s="38"/>
      <c r="D6" s="38" t="s">
        <v>40</v>
      </c>
      <c r="E6" s="38"/>
      <c r="F6" s="38" t="s">
        <v>18</v>
      </c>
      <c r="G6" s="38"/>
      <c r="H6" s="38" t="s">
        <v>46</v>
      </c>
      <c r="I6" s="27"/>
      <c r="J6" s="27"/>
      <c r="K6" s="27"/>
      <c r="L6" s="27"/>
      <c r="M6" s="27"/>
      <c r="N6" s="27"/>
      <c r="O6" s="27"/>
      <c r="P6" s="27"/>
      <c r="Q6" s="27"/>
      <c r="R6" s="27"/>
      <c r="S6" s="27"/>
      <c r="T6" s="27"/>
      <c r="U6" s="27"/>
      <c r="V6" s="27"/>
      <c r="W6" s="27"/>
      <c r="X6" s="27"/>
      <c r="Y6" s="27"/>
      <c r="Z6" s="27"/>
      <c r="AA6" s="27"/>
      <c r="AB6" s="27"/>
      <c r="AC6" s="27"/>
      <c r="AD6" s="27"/>
    </row>
    <row r="7" spans="2:30">
      <c r="B7" s="38" t="s">
        <v>62</v>
      </c>
      <c r="C7" s="38"/>
      <c r="D7" s="38" t="s">
        <v>63</v>
      </c>
      <c r="E7" s="38"/>
      <c r="F7" s="38" t="s">
        <v>19</v>
      </c>
      <c r="G7" s="38"/>
      <c r="H7" s="38" t="s">
        <v>64</v>
      </c>
      <c r="I7" s="27"/>
      <c r="J7" s="27"/>
      <c r="K7" s="27"/>
      <c r="L7" s="27"/>
      <c r="M7" s="27"/>
      <c r="N7" s="27"/>
      <c r="O7" s="27"/>
      <c r="P7" s="27"/>
      <c r="Q7" s="27"/>
      <c r="R7" s="27"/>
      <c r="S7" s="27"/>
      <c r="T7" s="27"/>
      <c r="U7" s="27"/>
      <c r="V7" s="27"/>
      <c r="W7" s="27"/>
      <c r="X7" s="27"/>
      <c r="Y7" s="27"/>
      <c r="Z7" s="27"/>
      <c r="AA7" s="27"/>
      <c r="AB7" s="27"/>
      <c r="AC7" s="27"/>
      <c r="AD7" s="27"/>
    </row>
    <row r="8" spans="2:30">
      <c r="B8" s="27"/>
      <c r="D8" s="27"/>
      <c r="F8" s="27"/>
      <c r="H8" s="27"/>
      <c r="I8" s="27"/>
      <c r="J8" s="27"/>
      <c r="K8" s="27"/>
      <c r="L8" s="27"/>
      <c r="M8" s="27"/>
      <c r="N8" s="27"/>
      <c r="O8" s="27"/>
      <c r="P8" s="27"/>
      <c r="Q8" s="27"/>
      <c r="R8" s="27"/>
      <c r="S8" s="27"/>
      <c r="T8" s="27"/>
      <c r="U8" s="27"/>
      <c r="V8" s="27"/>
      <c r="W8" s="27"/>
      <c r="X8" s="27"/>
      <c r="Y8" s="27"/>
      <c r="Z8" s="27"/>
      <c r="AA8" s="27"/>
      <c r="AB8" s="27"/>
      <c r="AC8" s="27"/>
      <c r="AD8" s="27"/>
    </row>
    <row r="9" spans="2:30">
      <c r="B9" s="34">
        <f>J4</f>
        <v>5.5</v>
      </c>
      <c r="D9" s="34">
        <f>L4</f>
        <v>0</v>
      </c>
      <c r="F9" s="32" t="e">
        <f>B9/D9</f>
        <v>#DIV/0!</v>
      </c>
      <c r="H9" s="33">
        <f>B9*D9</f>
        <v>0</v>
      </c>
      <c r="I9" s="27"/>
      <c r="J9" s="34" t="s">
        <v>31</v>
      </c>
      <c r="K9" s="35" t="s">
        <v>68</v>
      </c>
      <c r="L9" s="27"/>
      <c r="M9" s="27"/>
      <c r="N9" s="27"/>
      <c r="O9" s="27"/>
      <c r="P9" s="27"/>
      <c r="Q9" s="27"/>
      <c r="R9" s="27"/>
      <c r="S9" s="27"/>
      <c r="T9" s="27"/>
      <c r="U9" s="27"/>
      <c r="V9" s="27"/>
      <c r="W9" s="27"/>
      <c r="X9" s="27"/>
      <c r="Y9" s="27"/>
      <c r="Z9" s="27"/>
      <c r="AA9" s="27"/>
      <c r="AB9" s="27"/>
      <c r="AC9" s="27"/>
      <c r="AD9" s="27"/>
    </row>
    <row r="10" spans="2:30">
      <c r="B10" s="28"/>
      <c r="D10" s="28"/>
      <c r="F10" s="28"/>
      <c r="H10" s="28"/>
      <c r="I10" s="27"/>
      <c r="J10" s="27"/>
      <c r="K10" s="27"/>
      <c r="L10" s="27"/>
      <c r="M10" s="27"/>
      <c r="N10" s="27"/>
      <c r="O10" s="27"/>
      <c r="P10" s="27"/>
      <c r="Q10" s="27"/>
      <c r="R10" s="27"/>
      <c r="S10" s="27"/>
      <c r="T10" s="27"/>
      <c r="U10" s="27"/>
      <c r="V10" s="27"/>
      <c r="W10" s="27"/>
      <c r="X10" s="27"/>
      <c r="Y10" s="27"/>
      <c r="Z10" s="27"/>
      <c r="AA10" s="27"/>
      <c r="AB10" s="27"/>
      <c r="AC10" s="27"/>
      <c r="AD10" s="27"/>
    </row>
    <row r="11" spans="2:30">
      <c r="B11" s="34">
        <f>J4</f>
        <v>5.5</v>
      </c>
      <c r="D11" s="39">
        <f>B11/F11</f>
        <v>2.75</v>
      </c>
      <c r="F11" s="34">
        <f>N4</f>
        <v>2</v>
      </c>
      <c r="H11" s="33">
        <f>(B11^2)/F11</f>
        <v>15.125</v>
      </c>
      <c r="I11" s="27"/>
      <c r="J11" s="27"/>
      <c r="K11" s="27"/>
      <c r="L11" s="27"/>
      <c r="M11" s="27"/>
      <c r="N11" s="27"/>
      <c r="O11" s="27"/>
      <c r="P11" s="27"/>
      <c r="Q11" s="27"/>
      <c r="R11" s="27"/>
      <c r="S11" s="27"/>
      <c r="T11" s="27"/>
      <c r="U11" s="27"/>
      <c r="V11" s="27"/>
      <c r="W11" s="27"/>
      <c r="X11" s="27"/>
      <c r="Y11" s="27"/>
      <c r="Z11" s="27"/>
      <c r="AA11" s="27"/>
      <c r="AB11" s="27"/>
      <c r="AC11" s="27"/>
      <c r="AD11" s="27"/>
    </row>
    <row r="12" spans="2:30">
      <c r="B12" s="28"/>
      <c r="D12" s="28"/>
      <c r="F12" s="28"/>
      <c r="H12" s="28"/>
      <c r="I12" s="27"/>
      <c r="J12" s="27"/>
      <c r="K12" s="27"/>
      <c r="L12" s="27"/>
      <c r="M12" s="27"/>
      <c r="N12" s="27"/>
      <c r="O12" s="27"/>
      <c r="P12" s="27"/>
      <c r="Q12" s="27"/>
      <c r="R12" s="27"/>
      <c r="S12" s="27"/>
      <c r="T12" s="27"/>
      <c r="U12" s="27"/>
      <c r="V12" s="27"/>
      <c r="W12" s="27"/>
      <c r="X12" s="27"/>
      <c r="Y12" s="27"/>
      <c r="Z12" s="27"/>
      <c r="AA12" s="27"/>
      <c r="AB12" s="27"/>
      <c r="AC12" s="27"/>
      <c r="AD12" s="27"/>
    </row>
    <row r="13" spans="2:30">
      <c r="B13" s="30">
        <f>D13*F13</f>
        <v>0</v>
      </c>
      <c r="D13" s="34">
        <f>L4</f>
        <v>0</v>
      </c>
      <c r="F13" s="34">
        <f>N4</f>
        <v>2</v>
      </c>
      <c r="H13" s="33">
        <f>(D13^2)*F13</f>
        <v>0</v>
      </c>
      <c r="I13" s="27"/>
      <c r="J13" s="27"/>
      <c r="K13" s="27"/>
      <c r="L13" s="27"/>
      <c r="M13" s="27"/>
      <c r="N13" s="27"/>
      <c r="O13" s="27"/>
      <c r="P13" s="27"/>
      <c r="Q13" s="27"/>
      <c r="R13" s="27"/>
      <c r="S13" s="27"/>
      <c r="T13" s="27"/>
      <c r="U13" s="27"/>
      <c r="V13" s="27"/>
      <c r="W13" s="27"/>
      <c r="X13" s="27"/>
      <c r="Y13" s="27"/>
      <c r="Z13" s="27"/>
      <c r="AA13" s="27"/>
      <c r="AB13" s="27"/>
      <c r="AC13" s="27"/>
      <c r="AD13" s="27"/>
    </row>
    <row r="14" spans="2:30">
      <c r="B14" s="28"/>
      <c r="D14" s="28"/>
      <c r="F14" s="28"/>
      <c r="H14" s="28"/>
      <c r="I14" s="27"/>
      <c r="J14" s="27"/>
      <c r="K14" s="27"/>
      <c r="L14" s="27"/>
      <c r="M14" s="27"/>
      <c r="N14" s="27"/>
      <c r="O14" s="27"/>
      <c r="P14" s="27"/>
      <c r="Q14" s="27"/>
      <c r="R14" s="27"/>
      <c r="S14" s="27"/>
      <c r="T14" s="27"/>
      <c r="U14" s="27"/>
      <c r="V14" s="27"/>
      <c r="W14" s="27"/>
      <c r="X14" s="27"/>
      <c r="Y14" s="27"/>
      <c r="Z14" s="27"/>
      <c r="AA14" s="27"/>
      <c r="AB14" s="27"/>
      <c r="AC14" s="27"/>
      <c r="AD14" s="27"/>
    </row>
    <row r="15" spans="2:30">
      <c r="B15" s="34">
        <f>J4</f>
        <v>5.5</v>
      </c>
      <c r="D15" s="31">
        <f>H15/B15</f>
        <v>0</v>
      </c>
      <c r="F15" s="32" t="e">
        <f xml:space="preserve"> (B15^2)/H15</f>
        <v>#DIV/0!</v>
      </c>
      <c r="H15" s="34">
        <f>P4</f>
        <v>0</v>
      </c>
      <c r="I15" s="27"/>
      <c r="J15" s="27"/>
      <c r="K15" s="27"/>
      <c r="L15" s="27"/>
      <c r="M15" s="27"/>
      <c r="N15" s="27"/>
      <c r="O15" s="27"/>
      <c r="P15" s="27"/>
      <c r="Q15" s="27"/>
      <c r="R15" s="27"/>
      <c r="S15" s="27"/>
      <c r="T15" s="27"/>
      <c r="U15" s="27"/>
      <c r="V15" s="27"/>
      <c r="W15" s="27"/>
      <c r="X15" s="27"/>
      <c r="Y15" s="27"/>
      <c r="Z15" s="27"/>
      <c r="AA15" s="27"/>
      <c r="AB15" s="27"/>
      <c r="AC15" s="27"/>
      <c r="AD15" s="27"/>
    </row>
    <row r="16" spans="2:30">
      <c r="B16" s="28"/>
      <c r="D16" s="28"/>
      <c r="F16" s="28"/>
      <c r="H16" s="28"/>
      <c r="I16" s="27"/>
      <c r="J16" s="27"/>
      <c r="K16" s="27"/>
      <c r="L16" s="27"/>
      <c r="M16" s="27"/>
      <c r="N16" s="27"/>
      <c r="O16" s="27"/>
      <c r="P16" s="27"/>
      <c r="Q16" s="27"/>
      <c r="R16" s="27"/>
      <c r="S16" s="27"/>
      <c r="T16" s="27"/>
      <c r="U16" s="27"/>
      <c r="V16" s="27"/>
      <c r="W16" s="27"/>
      <c r="X16" s="27"/>
      <c r="Y16" s="27"/>
      <c r="Z16" s="27"/>
      <c r="AA16" s="27"/>
      <c r="AB16" s="27"/>
      <c r="AC16" s="27"/>
      <c r="AD16" s="27"/>
    </row>
    <row r="17" spans="1:54">
      <c r="B17" s="30" t="e">
        <f>H17/D17</f>
        <v>#DIV/0!</v>
      </c>
      <c r="D17" s="34">
        <f>L4</f>
        <v>0</v>
      </c>
      <c r="F17" s="32" t="e">
        <f xml:space="preserve"> H17/(D17^2)</f>
        <v>#DIV/0!</v>
      </c>
      <c r="H17" s="34">
        <f>P4</f>
        <v>0</v>
      </c>
      <c r="I17" s="27"/>
      <c r="J17" s="27"/>
      <c r="K17" s="27"/>
      <c r="L17" s="27"/>
      <c r="M17" s="27"/>
      <c r="N17" s="27"/>
      <c r="O17" s="27"/>
      <c r="P17" s="27"/>
      <c r="Q17" s="27"/>
      <c r="R17" s="27"/>
      <c r="S17" s="27"/>
      <c r="T17" s="27"/>
      <c r="U17" s="27"/>
      <c r="V17" s="27"/>
      <c r="W17" s="27"/>
      <c r="X17" s="27"/>
      <c r="Y17" s="27"/>
      <c r="Z17" s="27"/>
      <c r="AA17" s="27"/>
      <c r="AB17" s="27"/>
      <c r="AC17" s="27"/>
      <c r="AD17" s="27"/>
    </row>
    <row r="18" spans="1:54">
      <c r="B18" s="28"/>
      <c r="D18" s="28"/>
      <c r="F18" s="28"/>
      <c r="H18" s="28"/>
      <c r="I18" s="27"/>
      <c r="J18" s="27"/>
      <c r="K18" s="27"/>
      <c r="L18" s="27"/>
      <c r="M18" s="27"/>
      <c r="N18" s="27"/>
      <c r="O18" s="27"/>
      <c r="P18" s="27"/>
      <c r="Q18" s="27"/>
      <c r="R18" s="27"/>
      <c r="S18" s="27"/>
      <c r="T18" s="27"/>
      <c r="U18" s="27"/>
      <c r="V18" s="27"/>
      <c r="W18" s="27"/>
      <c r="X18" s="27"/>
      <c r="Y18" s="27"/>
      <c r="Z18" s="27"/>
      <c r="AA18" s="27"/>
      <c r="AB18" s="27"/>
      <c r="AC18" s="27"/>
      <c r="AD18" s="27"/>
    </row>
    <row r="19" spans="1:54">
      <c r="B19" s="30">
        <f>SQRT(H19*F19)</f>
        <v>0</v>
      </c>
      <c r="D19" s="31">
        <f>SQRT(H19/F19)</f>
        <v>0</v>
      </c>
      <c r="F19" s="34">
        <f>N4</f>
        <v>2</v>
      </c>
      <c r="H19" s="34">
        <f>P4</f>
        <v>0</v>
      </c>
      <c r="I19" s="27"/>
      <c r="J19" s="27"/>
      <c r="K19" s="27"/>
      <c r="L19" s="27"/>
      <c r="M19" s="27"/>
      <c r="N19" s="27"/>
      <c r="O19" s="27"/>
      <c r="P19" s="27"/>
      <c r="Q19" s="27"/>
      <c r="R19" s="27"/>
      <c r="S19" s="27"/>
      <c r="T19" s="27"/>
      <c r="U19" s="27"/>
      <c r="V19" s="27"/>
      <c r="W19" s="27"/>
      <c r="X19" s="27"/>
      <c r="Y19" s="27"/>
      <c r="Z19" s="27"/>
      <c r="AA19" s="27"/>
      <c r="AB19" s="27"/>
      <c r="AC19" s="27"/>
      <c r="AD19" s="27"/>
    </row>
    <row r="20" spans="1:54">
      <c r="B20" s="27"/>
      <c r="D20" s="27"/>
      <c r="F20" s="27"/>
      <c r="H20" s="27"/>
      <c r="I20" s="27"/>
      <c r="J20" s="27"/>
      <c r="K20" s="27"/>
      <c r="L20" s="27"/>
      <c r="M20" s="27"/>
      <c r="N20" s="27"/>
      <c r="O20" s="27"/>
      <c r="P20" s="27"/>
      <c r="Q20" s="27"/>
      <c r="R20" s="27"/>
      <c r="S20" s="27"/>
      <c r="T20" s="27"/>
      <c r="U20" s="27"/>
      <c r="V20" s="27"/>
      <c r="W20" s="27"/>
      <c r="X20" s="27"/>
      <c r="Y20" s="27"/>
      <c r="Z20" s="27"/>
      <c r="AA20" s="27"/>
      <c r="AB20" s="27"/>
      <c r="AC20" s="27"/>
      <c r="AD20" s="27"/>
      <c r="AE20" s="36"/>
      <c r="AF20" s="36"/>
      <c r="AG20" s="36"/>
      <c r="AH20" s="36"/>
      <c r="AI20" s="36"/>
      <c r="AJ20" s="36"/>
      <c r="AK20" s="36"/>
      <c r="AL20" s="36"/>
      <c r="AM20" s="36"/>
      <c r="AN20" s="36"/>
      <c r="AO20" s="36"/>
      <c r="AP20" s="36"/>
      <c r="AQ20" s="36"/>
      <c r="AR20" s="36"/>
      <c r="AS20" s="36"/>
      <c r="AT20" s="36"/>
      <c r="AU20" s="36"/>
      <c r="AV20" s="36"/>
      <c r="AW20" s="36"/>
      <c r="AX20" s="36"/>
      <c r="AY20" s="36"/>
      <c r="AZ20" s="36"/>
      <c r="BA20" s="36"/>
      <c r="BB20" s="36"/>
    </row>
    <row r="21" spans="1:54">
      <c r="B21" s="27"/>
      <c r="D21" s="27"/>
      <c r="F21" s="27"/>
      <c r="H21" s="27"/>
      <c r="I21" s="27"/>
      <c r="J21" s="27"/>
      <c r="K21" s="27"/>
      <c r="L21" s="27"/>
      <c r="M21" s="27"/>
      <c r="N21" s="27"/>
      <c r="O21" s="27"/>
      <c r="P21" s="27"/>
      <c r="Q21" s="27"/>
      <c r="R21" s="27"/>
      <c r="S21" s="27"/>
      <c r="T21" s="27"/>
      <c r="U21" s="27"/>
      <c r="V21" s="27"/>
      <c r="W21" s="27"/>
      <c r="X21" s="27"/>
      <c r="Y21" s="27"/>
      <c r="Z21" s="27"/>
      <c r="AA21" s="27"/>
      <c r="AB21" s="27"/>
      <c r="AC21" s="27"/>
      <c r="AD21" s="27"/>
      <c r="AE21" s="27"/>
      <c r="AF21" s="27"/>
      <c r="AG21" s="27"/>
      <c r="AH21" s="27"/>
      <c r="AI21" s="27"/>
      <c r="AJ21" s="27"/>
      <c r="AK21" s="27"/>
      <c r="AL21" s="27"/>
      <c r="AM21" s="27"/>
      <c r="AN21" s="27"/>
      <c r="AO21" s="27"/>
      <c r="AP21" s="27"/>
      <c r="AQ21" s="27"/>
      <c r="AR21" s="27"/>
      <c r="AS21" s="27"/>
      <c r="AT21" s="27"/>
      <c r="AU21" s="27"/>
      <c r="AV21" s="27"/>
      <c r="AW21" s="27"/>
      <c r="AX21" s="27"/>
      <c r="AY21" s="36"/>
      <c r="AZ21" s="36"/>
      <c r="BA21" s="36"/>
      <c r="BB21" s="36"/>
    </row>
    <row r="22" spans="1:54">
      <c r="B22" s="27"/>
      <c r="D22" s="27"/>
      <c r="F22" s="27"/>
      <c r="H22" s="27"/>
      <c r="I22" s="27"/>
      <c r="J22" s="27"/>
      <c r="K22" s="27"/>
      <c r="L22" s="27"/>
      <c r="M22" s="27"/>
      <c r="N22" s="27"/>
      <c r="O22" s="27"/>
      <c r="P22" s="27"/>
      <c r="Q22" s="27"/>
      <c r="R22" s="27"/>
      <c r="S22" s="27"/>
      <c r="T22" s="27"/>
      <c r="U22" s="27"/>
      <c r="V22" s="27"/>
      <c r="W22" s="27"/>
      <c r="X22" s="27"/>
      <c r="Y22" s="27"/>
      <c r="Z22" s="27"/>
      <c r="AA22" s="27"/>
      <c r="AB22" s="27"/>
      <c r="AC22" s="27"/>
      <c r="AD22" s="27"/>
      <c r="AE22" s="27"/>
      <c r="AF22" s="27"/>
      <c r="AG22" s="27"/>
      <c r="AH22" s="27"/>
      <c r="AI22" s="27"/>
      <c r="AJ22" s="27"/>
      <c r="AK22" s="27"/>
      <c r="AL22" s="27"/>
      <c r="AM22" s="27"/>
      <c r="AN22" s="27"/>
      <c r="AO22" s="27"/>
      <c r="AP22" s="27"/>
      <c r="AQ22" s="27"/>
      <c r="AR22" s="27"/>
      <c r="AS22" s="27"/>
      <c r="AT22" s="27"/>
      <c r="AU22" s="27"/>
      <c r="AV22" s="27"/>
      <c r="AW22" s="27"/>
      <c r="AX22" s="27"/>
      <c r="AY22" s="36"/>
      <c r="AZ22" s="36"/>
      <c r="BA22" s="36"/>
      <c r="BB22" s="36"/>
    </row>
    <row r="23" spans="1:54">
      <c r="B23" s="27"/>
      <c r="D23" s="27"/>
      <c r="F23" s="27"/>
      <c r="H23" s="27"/>
      <c r="I23" s="27"/>
      <c r="J23" s="27"/>
      <c r="K23" s="27"/>
      <c r="L23" s="27"/>
      <c r="M23" s="27"/>
      <c r="N23" s="27"/>
      <c r="O23" s="27"/>
      <c r="P23" s="27"/>
      <c r="Q23" s="27"/>
      <c r="R23" s="27"/>
      <c r="S23" s="27"/>
      <c r="T23" s="27"/>
      <c r="U23" s="27"/>
      <c r="V23" s="27"/>
      <c r="W23" s="27"/>
      <c r="X23" s="27"/>
      <c r="Y23" s="27"/>
      <c r="Z23" s="27"/>
      <c r="AA23" s="27"/>
      <c r="AB23" s="27"/>
      <c r="AC23" s="27"/>
      <c r="AD23" s="27"/>
      <c r="AE23" s="27"/>
      <c r="AF23" s="27"/>
      <c r="AG23" s="27"/>
      <c r="AH23" s="27"/>
      <c r="AI23" s="27"/>
      <c r="AJ23" s="27"/>
      <c r="AK23" s="27"/>
      <c r="AL23" s="27"/>
      <c r="AM23" s="27"/>
      <c r="AN23" s="27"/>
      <c r="AO23" s="27"/>
      <c r="AP23" s="27"/>
      <c r="AQ23" s="27"/>
      <c r="AR23" s="27"/>
      <c r="AS23" s="27"/>
      <c r="AT23" s="27"/>
      <c r="AU23" s="27"/>
      <c r="AV23" s="27"/>
      <c r="AW23" s="27"/>
      <c r="AX23" s="27"/>
      <c r="AY23" s="36"/>
      <c r="AZ23" s="36"/>
      <c r="BA23" s="36"/>
      <c r="BB23" s="36"/>
    </row>
    <row r="24" spans="1:54">
      <c r="B24" s="37" t="s">
        <v>122</v>
      </c>
      <c r="D24" s="27"/>
      <c r="F24" s="27"/>
      <c r="H24" s="27"/>
      <c r="I24" s="27"/>
      <c r="J24" s="27"/>
      <c r="K24" s="27"/>
      <c r="L24" s="27"/>
      <c r="M24" s="27"/>
      <c r="N24" s="27"/>
      <c r="O24" s="27"/>
      <c r="P24" s="27"/>
      <c r="Q24" s="27"/>
      <c r="R24" s="27"/>
      <c r="S24" s="27"/>
      <c r="T24" s="27"/>
      <c r="U24" s="27"/>
      <c r="V24" s="27"/>
      <c r="W24" s="27"/>
      <c r="X24" s="27"/>
      <c r="Y24" s="27"/>
      <c r="Z24" s="27"/>
      <c r="AA24" s="27"/>
      <c r="AB24" s="27"/>
      <c r="AC24" s="27"/>
      <c r="AD24" s="27"/>
      <c r="AE24" s="27"/>
      <c r="AF24" s="27"/>
      <c r="AG24" s="27"/>
      <c r="AH24" s="27"/>
      <c r="AI24" s="27"/>
      <c r="AJ24" s="27"/>
      <c r="AK24" s="27"/>
      <c r="AL24" s="27"/>
      <c r="AM24" s="27"/>
      <c r="AN24" s="27"/>
      <c r="AO24" s="27"/>
      <c r="AP24" s="27"/>
      <c r="AQ24" s="27"/>
      <c r="AR24" s="27"/>
      <c r="AS24" s="27"/>
      <c r="AT24" s="27"/>
      <c r="AU24" s="27"/>
      <c r="AV24" s="27"/>
      <c r="AW24" s="27"/>
      <c r="AX24" s="27"/>
      <c r="AY24" s="36"/>
      <c r="AZ24" s="36"/>
      <c r="BA24" s="36"/>
      <c r="BB24" s="36"/>
    </row>
    <row r="25" spans="1:54">
      <c r="B25" s="27"/>
      <c r="D25" s="27"/>
      <c r="F25" s="27"/>
      <c r="H25" s="27"/>
      <c r="I25" s="27"/>
      <c r="J25" s="27"/>
      <c r="K25" s="27"/>
      <c r="L25" s="27"/>
      <c r="M25" s="27"/>
      <c r="N25" s="27"/>
      <c r="O25" s="27"/>
      <c r="P25" s="27"/>
      <c r="Q25" s="27"/>
      <c r="R25" s="27"/>
      <c r="S25" s="27"/>
      <c r="T25" s="27"/>
      <c r="U25" s="27"/>
      <c r="V25" s="27"/>
      <c r="W25" s="27"/>
      <c r="X25" s="27"/>
      <c r="Y25" s="27"/>
      <c r="Z25" s="27"/>
      <c r="AA25" s="27"/>
      <c r="AB25" s="27"/>
      <c r="AC25" s="27"/>
      <c r="AD25" s="27"/>
      <c r="AE25" s="27"/>
      <c r="AF25" s="27"/>
      <c r="AG25" s="27"/>
      <c r="AH25" s="27"/>
      <c r="AI25" s="27"/>
      <c r="AJ25" s="27"/>
      <c r="AK25" s="27"/>
      <c r="AL25" s="27"/>
      <c r="AM25" s="27"/>
      <c r="AN25" s="27"/>
      <c r="AO25" s="27"/>
      <c r="AP25" s="27"/>
      <c r="AQ25" s="27"/>
      <c r="AR25" s="27"/>
      <c r="AS25" s="27"/>
      <c r="AT25" s="27"/>
      <c r="AU25" s="27"/>
      <c r="AV25" s="27"/>
      <c r="AW25" s="27"/>
      <c r="AX25" s="27"/>
      <c r="AY25" s="36"/>
      <c r="AZ25" s="36"/>
      <c r="BA25" s="36"/>
      <c r="BB25" s="36"/>
    </row>
    <row r="26" spans="1:54" s="41" customFormat="1">
      <c r="A26" s="37"/>
      <c r="B26" s="42" t="s">
        <v>63</v>
      </c>
      <c r="C26" s="42"/>
      <c r="D26" s="42" t="s">
        <v>123</v>
      </c>
      <c r="E26" s="42"/>
      <c r="F26" s="42" t="s">
        <v>124</v>
      </c>
      <c r="G26" s="42"/>
      <c r="H26" s="42" t="s">
        <v>126</v>
      </c>
      <c r="I26" s="42" t="s">
        <v>125</v>
      </c>
      <c r="J26" s="37"/>
      <c r="K26" s="37"/>
      <c r="L26" s="37"/>
      <c r="M26" s="37"/>
      <c r="N26" s="37"/>
      <c r="O26" s="37"/>
      <c r="P26" s="37"/>
      <c r="Q26" s="37"/>
      <c r="R26" s="37"/>
      <c r="S26" s="37"/>
      <c r="T26" s="37"/>
      <c r="U26" s="37"/>
      <c r="V26" s="37"/>
      <c r="W26" s="37"/>
      <c r="X26" s="37"/>
      <c r="Y26" s="37"/>
      <c r="Z26" s="37"/>
      <c r="AA26" s="37"/>
      <c r="AB26" s="37"/>
      <c r="AC26" s="37"/>
      <c r="AD26" s="37"/>
      <c r="AE26" s="37"/>
      <c r="AF26" s="37"/>
      <c r="AG26" s="37"/>
      <c r="AH26" s="37"/>
      <c r="AI26" s="37"/>
      <c r="AJ26" s="37"/>
      <c r="AK26" s="37"/>
      <c r="AL26" s="37"/>
      <c r="AM26" s="37"/>
      <c r="AN26" s="37"/>
      <c r="AO26" s="37"/>
      <c r="AP26" s="37"/>
      <c r="AQ26" s="37"/>
      <c r="AR26" s="37"/>
      <c r="AS26" s="37"/>
      <c r="AT26" s="37"/>
      <c r="AU26" s="37"/>
      <c r="AV26" s="37"/>
      <c r="AW26" s="37"/>
      <c r="AX26" s="37"/>
      <c r="AY26" s="40"/>
      <c r="AZ26" s="40"/>
      <c r="BA26" s="40"/>
      <c r="BB26" s="40"/>
    </row>
    <row r="27" spans="1:54">
      <c r="B27" s="27"/>
      <c r="D27" s="27"/>
      <c r="F27" s="27"/>
      <c r="H27" s="27"/>
      <c r="I27" s="27"/>
      <c r="J27" s="27"/>
      <c r="K27" s="27"/>
      <c r="L27" s="27"/>
      <c r="M27" s="27"/>
      <c r="N27" s="27"/>
      <c r="O27" s="27"/>
      <c r="P27" s="27"/>
      <c r="Q27" s="27"/>
      <c r="R27" s="27"/>
      <c r="S27" s="27"/>
      <c r="T27" s="27"/>
      <c r="U27" s="27"/>
      <c r="V27" s="27"/>
      <c r="W27" s="27"/>
      <c r="X27" s="27"/>
      <c r="Y27" s="27"/>
      <c r="Z27" s="27"/>
      <c r="AA27" s="27"/>
      <c r="AB27" s="27"/>
      <c r="AC27" s="27"/>
      <c r="AD27" s="27"/>
      <c r="AE27" s="27"/>
      <c r="AF27" s="27"/>
      <c r="AG27" s="27"/>
      <c r="AH27" s="27"/>
      <c r="AI27" s="27"/>
      <c r="AJ27" s="27"/>
      <c r="AK27" s="27"/>
      <c r="AL27" s="27"/>
      <c r="AM27" s="27"/>
      <c r="AN27" s="27"/>
      <c r="AO27" s="27"/>
      <c r="AP27" s="27"/>
      <c r="AQ27" s="27"/>
      <c r="AR27" s="27"/>
      <c r="AS27" s="27"/>
      <c r="AT27" s="27"/>
      <c r="AU27" s="27"/>
      <c r="AV27" s="27"/>
      <c r="AW27" s="27"/>
      <c r="AX27" s="27"/>
      <c r="AY27" s="36"/>
      <c r="AZ27" s="36"/>
      <c r="BA27" s="36"/>
      <c r="BB27" s="36"/>
    </row>
    <row r="28" spans="1:54">
      <c r="B28" s="44">
        <f>D11</f>
        <v>2.75</v>
      </c>
      <c r="D28" s="33"/>
      <c r="F28" s="27"/>
      <c r="H28" s="27"/>
      <c r="I28" s="27"/>
      <c r="J28" s="27"/>
      <c r="K28" s="27"/>
      <c r="L28" s="27"/>
      <c r="M28" s="27"/>
      <c r="N28" s="27"/>
      <c r="O28" s="27"/>
      <c r="P28" s="27"/>
      <c r="Q28" s="27"/>
      <c r="R28" s="27"/>
      <c r="S28" s="27"/>
      <c r="T28" s="27"/>
      <c r="U28" s="27"/>
      <c r="V28" s="27"/>
      <c r="W28" s="27"/>
      <c r="X28" s="27"/>
      <c r="Y28" s="27"/>
      <c r="Z28" s="27"/>
      <c r="AA28" s="27"/>
      <c r="AB28" s="27"/>
      <c r="AC28" s="27"/>
      <c r="AD28" s="27"/>
      <c r="AE28" s="27"/>
      <c r="AF28" s="27"/>
      <c r="AG28" s="27"/>
      <c r="AH28" s="27"/>
      <c r="AI28" s="27"/>
      <c r="AJ28" s="27"/>
      <c r="AK28" s="27"/>
      <c r="AL28" s="27"/>
      <c r="AM28" s="27"/>
      <c r="AN28" s="27"/>
      <c r="AO28" s="27"/>
      <c r="AP28" s="27"/>
      <c r="AQ28" s="27"/>
      <c r="AR28" s="27"/>
      <c r="AS28" s="27"/>
      <c r="AT28" s="27"/>
      <c r="AU28" s="27"/>
      <c r="AV28" s="27"/>
      <c r="AW28" s="27"/>
      <c r="AX28" s="27"/>
      <c r="AY28" s="36"/>
      <c r="AZ28" s="36"/>
      <c r="BA28" s="36"/>
      <c r="BB28" s="36"/>
    </row>
    <row r="29" spans="1:54">
      <c r="B29" s="27"/>
      <c r="D29" s="27"/>
      <c r="F29" s="27"/>
      <c r="H29" s="27"/>
      <c r="I29" s="27"/>
      <c r="J29" s="27"/>
      <c r="K29" s="27"/>
      <c r="L29" s="27"/>
      <c r="M29" s="27"/>
      <c r="N29" s="27"/>
      <c r="O29" s="27"/>
      <c r="P29" s="27"/>
      <c r="Q29" s="27"/>
      <c r="R29" s="27"/>
      <c r="S29" s="27"/>
      <c r="T29" s="27"/>
      <c r="U29" s="27"/>
      <c r="V29" s="27"/>
      <c r="W29" s="27"/>
      <c r="X29" s="27"/>
      <c r="Y29" s="27"/>
      <c r="Z29" s="27"/>
      <c r="AA29" s="27"/>
      <c r="AB29" s="27"/>
      <c r="AC29" s="27"/>
      <c r="AD29" s="27"/>
      <c r="AE29" s="27"/>
      <c r="AF29" s="27"/>
      <c r="AG29" s="27"/>
      <c r="AH29" s="27"/>
      <c r="AI29" s="27"/>
      <c r="AJ29" s="27"/>
      <c r="AK29" s="27"/>
      <c r="AL29" s="27"/>
      <c r="AM29" s="27"/>
      <c r="AN29" s="27"/>
      <c r="AO29" s="27"/>
      <c r="AP29" s="27"/>
      <c r="AQ29" s="27"/>
      <c r="AR29" s="27"/>
      <c r="AS29" s="27"/>
      <c r="AT29" s="27"/>
      <c r="AU29" s="27"/>
      <c r="AV29" s="27"/>
      <c r="AW29" s="27"/>
      <c r="AX29" s="27"/>
      <c r="AY29" s="36"/>
      <c r="AZ29" s="36"/>
      <c r="BA29" s="36"/>
      <c r="BB29" s="36"/>
    </row>
    <row r="30" spans="1:54">
      <c r="B30" s="27"/>
      <c r="D30" s="27"/>
      <c r="F30" s="27"/>
      <c r="H30" s="27"/>
      <c r="I30" s="27"/>
      <c r="J30" s="27"/>
      <c r="K30" s="27"/>
      <c r="L30" s="27"/>
      <c r="M30" s="27"/>
      <c r="N30" s="27"/>
      <c r="O30" s="27"/>
      <c r="P30" s="27"/>
      <c r="Q30" s="27"/>
      <c r="R30" s="27"/>
      <c r="S30" s="27"/>
      <c r="T30" s="27"/>
      <c r="U30" s="27"/>
      <c r="V30" s="27"/>
      <c r="W30" s="27"/>
      <c r="X30" s="27"/>
      <c r="Y30" s="27"/>
      <c r="Z30" s="27"/>
      <c r="AA30" s="27"/>
      <c r="AB30" s="27"/>
      <c r="AC30" s="27"/>
      <c r="AD30" s="27"/>
      <c r="AE30" s="27"/>
      <c r="AF30" s="27"/>
      <c r="AG30" s="27"/>
      <c r="AH30" s="27"/>
      <c r="AI30" s="27"/>
      <c r="AJ30" s="27"/>
      <c r="AK30" s="27"/>
      <c r="AL30" s="27"/>
      <c r="AM30" s="27"/>
      <c r="AN30" s="27"/>
      <c r="AO30" s="27"/>
      <c r="AP30" s="27"/>
      <c r="AQ30" s="27"/>
      <c r="AR30" s="27"/>
      <c r="AS30" s="27"/>
      <c r="AT30" s="27"/>
      <c r="AU30" s="27"/>
      <c r="AV30" s="27"/>
      <c r="AW30" s="27"/>
      <c r="AX30" s="27"/>
      <c r="AY30" s="36"/>
      <c r="AZ30" s="36"/>
      <c r="BA30" s="36"/>
      <c r="BB30" s="36"/>
    </row>
    <row r="31" spans="1:54">
      <c r="B31" s="27"/>
      <c r="D31" s="27"/>
      <c r="F31" s="27"/>
      <c r="H31" s="27"/>
      <c r="I31" s="27"/>
      <c r="J31" s="27"/>
      <c r="K31" s="27"/>
      <c r="L31" s="27"/>
      <c r="M31" s="27"/>
      <c r="N31" s="27"/>
      <c r="O31" s="27"/>
      <c r="P31" s="27"/>
      <c r="Q31" s="27"/>
      <c r="R31" s="27"/>
      <c r="S31" s="27"/>
      <c r="T31" s="27"/>
      <c r="U31" s="27"/>
      <c r="V31" s="27"/>
      <c r="W31" s="27"/>
      <c r="X31" s="27"/>
      <c r="Y31" s="27"/>
      <c r="Z31" s="27"/>
      <c r="AA31" s="27"/>
      <c r="AB31" s="27"/>
      <c r="AC31" s="27"/>
      <c r="AD31" s="27"/>
      <c r="AE31" s="27"/>
      <c r="AF31" s="27"/>
      <c r="AG31" s="27"/>
      <c r="AH31" s="27"/>
      <c r="AI31" s="27"/>
      <c r="AJ31" s="27"/>
      <c r="AK31" s="27"/>
      <c r="AL31" s="27"/>
      <c r="AM31" s="27"/>
      <c r="AN31" s="27"/>
      <c r="AO31" s="27"/>
      <c r="AP31" s="27"/>
      <c r="AQ31" s="27"/>
      <c r="AR31" s="27"/>
      <c r="AS31" s="27"/>
      <c r="AT31" s="27"/>
      <c r="AU31" s="27"/>
      <c r="AV31" s="27"/>
      <c r="AW31" s="27"/>
      <c r="AX31" s="27"/>
      <c r="AY31" s="36"/>
      <c r="AZ31" s="36"/>
      <c r="BA31" s="36"/>
      <c r="BB31" s="36"/>
    </row>
    <row r="32" spans="1:54">
      <c r="B32" s="27"/>
      <c r="D32" s="27"/>
      <c r="E32" s="43"/>
      <c r="F32" s="43"/>
      <c r="H32" s="27"/>
      <c r="I32" s="27"/>
      <c r="J32" s="27"/>
      <c r="K32" s="27"/>
      <c r="L32" s="27"/>
      <c r="M32" s="27"/>
      <c r="N32" s="27"/>
      <c r="O32" s="27"/>
      <c r="P32" s="27"/>
      <c r="Q32" s="27"/>
      <c r="R32" s="27"/>
      <c r="S32" s="27"/>
      <c r="T32" s="27"/>
      <c r="U32" s="27"/>
      <c r="V32" s="27"/>
      <c r="W32" s="27"/>
      <c r="X32" s="27"/>
      <c r="Y32" s="27"/>
      <c r="Z32" s="27"/>
      <c r="AA32" s="27"/>
      <c r="AB32" s="27"/>
      <c r="AC32" s="27"/>
      <c r="AD32" s="27"/>
      <c r="AE32" s="27"/>
      <c r="AF32" s="27"/>
      <c r="AG32" s="27"/>
      <c r="AH32" s="27"/>
      <c r="AI32" s="27"/>
      <c r="AJ32" s="27"/>
      <c r="AK32" s="27"/>
      <c r="AL32" s="27"/>
      <c r="AM32" s="27"/>
      <c r="AN32" s="27"/>
      <c r="AO32" s="27"/>
      <c r="AP32" s="27"/>
      <c r="AQ32" s="27"/>
      <c r="AR32" s="27"/>
      <c r="AS32" s="27"/>
      <c r="AT32" s="27"/>
      <c r="AU32" s="27"/>
      <c r="AV32" s="27"/>
      <c r="AW32" s="27"/>
      <c r="AX32" s="27"/>
      <c r="AY32" s="36"/>
      <c r="AZ32" s="36"/>
      <c r="BA32" s="36"/>
      <c r="BB32" s="36"/>
    </row>
    <row r="33" spans="2:54">
      <c r="B33" s="27"/>
      <c r="D33" s="27"/>
      <c r="E33" s="43"/>
      <c r="F33" s="43"/>
      <c r="H33" s="27"/>
      <c r="I33" s="27"/>
      <c r="J33" s="27"/>
      <c r="K33" s="27"/>
      <c r="L33" s="27"/>
      <c r="M33" s="27"/>
      <c r="N33" s="27"/>
      <c r="O33" s="27"/>
      <c r="P33" s="27"/>
      <c r="Q33" s="27"/>
      <c r="R33" s="27"/>
      <c r="S33" s="27"/>
      <c r="T33" s="27"/>
      <c r="U33" s="27"/>
      <c r="V33" s="27"/>
      <c r="W33" s="27"/>
      <c r="X33" s="27"/>
      <c r="Y33" s="27"/>
      <c r="Z33" s="27"/>
      <c r="AA33" s="27"/>
      <c r="AB33" s="27"/>
      <c r="AC33" s="27"/>
      <c r="AD33" s="27"/>
      <c r="AE33" s="27"/>
      <c r="AF33" s="27"/>
      <c r="AG33" s="27"/>
      <c r="AH33" s="27"/>
      <c r="AI33" s="27"/>
      <c r="AJ33" s="27"/>
      <c r="AK33" s="27"/>
      <c r="AL33" s="27"/>
      <c r="AM33" s="27"/>
      <c r="AN33" s="27"/>
      <c r="AO33" s="27"/>
      <c r="AP33" s="27"/>
      <c r="AQ33" s="27"/>
      <c r="AR33" s="27"/>
      <c r="AS33" s="27"/>
      <c r="AT33" s="27"/>
      <c r="AU33" s="27"/>
      <c r="AV33" s="27"/>
      <c r="AW33" s="27"/>
      <c r="AX33" s="27"/>
      <c r="AY33" s="36"/>
      <c r="AZ33" s="36"/>
      <c r="BA33" s="36"/>
      <c r="BB33" s="36"/>
    </row>
    <row r="34" spans="2:54">
      <c r="B34" s="27"/>
      <c r="D34" s="27"/>
      <c r="E34" s="43"/>
      <c r="F34" s="43"/>
      <c r="H34" s="27"/>
      <c r="I34" s="27"/>
      <c r="J34" s="27"/>
      <c r="K34" s="27"/>
      <c r="L34" s="27"/>
      <c r="M34" s="27"/>
      <c r="N34" s="27"/>
      <c r="O34" s="27"/>
      <c r="P34" s="27"/>
      <c r="Q34" s="27"/>
      <c r="R34" s="27"/>
      <c r="S34" s="27"/>
      <c r="T34" s="27"/>
      <c r="U34" s="27"/>
      <c r="V34" s="27"/>
      <c r="W34" s="27"/>
      <c r="X34" s="27"/>
      <c r="Y34" s="27"/>
      <c r="Z34" s="27"/>
      <c r="AA34" s="27"/>
      <c r="AB34" s="27"/>
      <c r="AC34" s="27"/>
      <c r="AD34" s="27"/>
      <c r="AE34" s="27"/>
      <c r="AF34" s="27"/>
      <c r="AG34" s="27"/>
      <c r="AH34" s="27"/>
      <c r="AI34" s="27"/>
      <c r="AJ34" s="27"/>
      <c r="AK34" s="27"/>
      <c r="AL34" s="27"/>
      <c r="AM34" s="27"/>
      <c r="AN34" s="27"/>
      <c r="AO34" s="27"/>
      <c r="AP34" s="27"/>
      <c r="AQ34" s="27"/>
      <c r="AR34" s="27"/>
      <c r="AS34" s="27"/>
      <c r="AT34" s="27"/>
      <c r="AU34" s="27"/>
      <c r="AV34" s="27"/>
      <c r="AW34" s="27"/>
      <c r="AX34" s="27"/>
      <c r="AY34" s="36"/>
      <c r="AZ34" s="36"/>
      <c r="BA34" s="36"/>
      <c r="BB34" s="36"/>
    </row>
    <row r="35" spans="2:54">
      <c r="B35" s="27"/>
      <c r="D35" s="27"/>
      <c r="F35" s="27"/>
      <c r="H35" s="27"/>
      <c r="I35" s="27"/>
      <c r="J35" s="27"/>
      <c r="K35" s="27"/>
      <c r="L35" s="27"/>
      <c r="M35" s="27"/>
      <c r="N35" s="27"/>
      <c r="O35" s="27"/>
      <c r="P35" s="27"/>
      <c r="Q35" s="27"/>
      <c r="R35" s="27"/>
      <c r="S35" s="27"/>
      <c r="T35" s="27"/>
      <c r="U35" s="27"/>
      <c r="V35" s="27"/>
      <c r="W35" s="27"/>
      <c r="X35" s="27"/>
      <c r="Y35" s="27"/>
      <c r="Z35" s="27"/>
      <c r="AA35" s="27"/>
      <c r="AB35" s="27"/>
      <c r="AC35" s="27"/>
      <c r="AD35" s="27"/>
      <c r="AE35" s="27"/>
      <c r="AF35" s="27"/>
      <c r="AG35" s="27"/>
      <c r="AH35" s="27"/>
      <c r="AI35" s="27"/>
      <c r="AJ35" s="27"/>
      <c r="AK35" s="27"/>
      <c r="AL35" s="27"/>
      <c r="AM35" s="27"/>
      <c r="AN35" s="27"/>
      <c r="AO35" s="27"/>
      <c r="AP35" s="27"/>
      <c r="AQ35" s="27"/>
      <c r="AR35" s="27"/>
      <c r="AS35" s="27"/>
      <c r="AT35" s="27"/>
      <c r="AU35" s="27"/>
      <c r="AV35" s="27"/>
      <c r="AW35" s="27"/>
      <c r="AX35" s="27"/>
      <c r="AY35" s="36"/>
      <c r="AZ35" s="36"/>
      <c r="BA35" s="36"/>
      <c r="BB35" s="36"/>
    </row>
    <row r="36" spans="2:54">
      <c r="B36" s="27"/>
      <c r="D36" s="27"/>
      <c r="F36" s="27"/>
      <c r="H36" s="27"/>
      <c r="I36" s="27"/>
      <c r="J36" s="27"/>
      <c r="K36" s="27"/>
      <c r="L36" s="27"/>
      <c r="M36" s="27"/>
      <c r="N36" s="27"/>
      <c r="O36" s="27"/>
      <c r="P36" s="27"/>
      <c r="Q36" s="27"/>
      <c r="R36" s="27"/>
      <c r="S36" s="27"/>
      <c r="T36" s="27"/>
      <c r="U36" s="27"/>
      <c r="V36" s="27"/>
      <c r="W36" s="27"/>
      <c r="X36" s="27"/>
      <c r="Y36" s="27"/>
      <c r="Z36" s="27"/>
      <c r="AA36" s="27"/>
      <c r="AB36" s="27"/>
      <c r="AC36" s="27"/>
      <c r="AD36" s="27"/>
      <c r="AE36" s="27"/>
      <c r="AF36" s="27"/>
      <c r="AG36" s="27"/>
      <c r="AH36" s="27"/>
      <c r="AI36" s="27"/>
      <c r="AJ36" s="27"/>
      <c r="AK36" s="27"/>
      <c r="AL36" s="27"/>
      <c r="AM36" s="27"/>
      <c r="AN36" s="27"/>
      <c r="AO36" s="27"/>
      <c r="AP36" s="27"/>
      <c r="AQ36" s="27"/>
      <c r="AR36" s="27"/>
      <c r="AS36" s="27"/>
      <c r="AT36" s="27"/>
      <c r="AU36" s="27"/>
      <c r="AV36" s="27"/>
      <c r="AW36" s="27"/>
      <c r="AX36" s="27"/>
      <c r="AY36" s="36"/>
      <c r="AZ36" s="36"/>
      <c r="BA36" s="36"/>
      <c r="BB36" s="36"/>
    </row>
    <row r="37" spans="2:54">
      <c r="B37" s="27"/>
      <c r="D37" s="27"/>
      <c r="F37" s="27"/>
      <c r="H37" s="27"/>
      <c r="I37" s="27"/>
      <c r="J37" s="27"/>
      <c r="K37" s="27"/>
      <c r="L37" s="27"/>
      <c r="M37" s="27"/>
      <c r="N37" s="27"/>
      <c r="O37" s="27"/>
      <c r="P37" s="27"/>
      <c r="Q37" s="27"/>
      <c r="R37" s="27"/>
      <c r="S37" s="27"/>
      <c r="T37" s="27"/>
      <c r="U37" s="27"/>
      <c r="V37" s="27"/>
      <c r="W37" s="27"/>
      <c r="X37" s="27"/>
      <c r="Y37" s="27"/>
      <c r="Z37" s="27"/>
      <c r="AA37" s="27"/>
      <c r="AB37" s="27"/>
      <c r="AC37" s="27"/>
      <c r="AD37" s="27"/>
      <c r="AE37" s="27"/>
      <c r="AF37" s="27"/>
      <c r="AG37" s="27"/>
      <c r="AH37" s="27"/>
      <c r="AI37" s="27"/>
      <c r="AJ37" s="27"/>
      <c r="AK37" s="27"/>
      <c r="AL37" s="27"/>
      <c r="AM37" s="27"/>
      <c r="AN37" s="27"/>
      <c r="AO37" s="27"/>
      <c r="AP37" s="27"/>
      <c r="AQ37" s="27"/>
      <c r="AR37" s="27"/>
      <c r="AS37" s="27"/>
      <c r="AT37" s="27"/>
      <c r="AU37" s="27"/>
      <c r="AV37" s="27"/>
      <c r="AW37" s="27"/>
      <c r="AX37" s="27"/>
      <c r="AY37" s="36"/>
      <c r="AZ37" s="36"/>
      <c r="BA37" s="36"/>
      <c r="BB37" s="36"/>
    </row>
    <row r="38" spans="2:54">
      <c r="B38" s="27"/>
      <c r="D38" s="27"/>
      <c r="F38" s="27"/>
      <c r="H38" s="27"/>
      <c r="I38" s="27"/>
      <c r="J38" s="27"/>
      <c r="K38" s="27"/>
      <c r="L38" s="27"/>
      <c r="M38" s="27"/>
      <c r="N38" s="27"/>
      <c r="O38" s="27"/>
      <c r="P38" s="27"/>
      <c r="Q38" s="27"/>
      <c r="R38" s="27"/>
      <c r="S38" s="27"/>
      <c r="T38" s="27"/>
      <c r="U38" s="27"/>
      <c r="V38" s="27"/>
      <c r="W38" s="27"/>
      <c r="X38" s="27"/>
      <c r="Y38" s="27"/>
      <c r="Z38" s="27"/>
      <c r="AA38" s="27"/>
      <c r="AB38" s="27"/>
      <c r="AC38" s="27"/>
      <c r="AD38" s="27"/>
      <c r="AE38" s="27"/>
      <c r="AF38" s="27"/>
      <c r="AG38" s="27"/>
      <c r="AH38" s="27"/>
      <c r="AI38" s="27"/>
      <c r="AJ38" s="27"/>
      <c r="AK38" s="27"/>
      <c r="AL38" s="27"/>
      <c r="AM38" s="27"/>
      <c r="AN38" s="27"/>
      <c r="AO38" s="27"/>
      <c r="AP38" s="27"/>
      <c r="AQ38" s="27"/>
      <c r="AR38" s="27"/>
      <c r="AS38" s="27"/>
      <c r="AT38" s="27"/>
      <c r="AU38" s="27"/>
      <c r="AV38" s="27"/>
      <c r="AW38" s="27"/>
      <c r="AX38" s="27"/>
      <c r="AY38" s="36"/>
      <c r="AZ38" s="36"/>
      <c r="BA38" s="36"/>
      <c r="BB38" s="36"/>
    </row>
    <row r="39" spans="2:54">
      <c r="B39" s="27"/>
      <c r="D39" s="27"/>
      <c r="F39" s="27"/>
      <c r="H39" s="27"/>
      <c r="I39" s="27"/>
      <c r="J39" s="27"/>
      <c r="K39" s="27"/>
      <c r="L39" s="27"/>
      <c r="M39" s="27"/>
      <c r="N39" s="27"/>
      <c r="O39" s="27"/>
      <c r="P39" s="27"/>
      <c r="Q39" s="27"/>
      <c r="R39" s="27"/>
      <c r="S39" s="27"/>
      <c r="T39" s="27"/>
      <c r="U39" s="27"/>
      <c r="V39" s="27"/>
      <c r="W39" s="27"/>
      <c r="X39" s="27"/>
      <c r="Y39" s="27"/>
      <c r="Z39" s="27"/>
      <c r="AA39" s="27"/>
      <c r="AB39" s="27"/>
      <c r="AC39" s="27"/>
      <c r="AD39" s="27"/>
      <c r="AE39" s="27"/>
      <c r="AF39" s="27"/>
      <c r="AG39" s="27"/>
      <c r="AH39" s="27"/>
      <c r="AI39" s="27"/>
      <c r="AJ39" s="27"/>
      <c r="AK39" s="27"/>
      <c r="AL39" s="27"/>
      <c r="AM39" s="27"/>
      <c r="AN39" s="27"/>
      <c r="AO39" s="27"/>
      <c r="AP39" s="27"/>
      <c r="AQ39" s="27"/>
      <c r="AR39" s="27"/>
      <c r="AS39" s="27"/>
      <c r="AT39" s="27"/>
      <c r="AU39" s="27"/>
      <c r="AV39" s="27"/>
      <c r="AW39" s="27"/>
      <c r="AX39" s="27"/>
      <c r="AY39" s="36"/>
      <c r="AZ39" s="36"/>
      <c r="BA39" s="36"/>
      <c r="BB39" s="36"/>
    </row>
    <row r="40" spans="2:54">
      <c r="B40" s="27"/>
      <c r="D40" s="27"/>
      <c r="F40" s="27"/>
      <c r="H40" s="27"/>
      <c r="I40" s="27"/>
      <c r="J40" s="27"/>
      <c r="K40" s="27"/>
      <c r="L40" s="27"/>
      <c r="M40" s="27"/>
      <c r="N40" s="27"/>
      <c r="O40" s="27"/>
      <c r="P40" s="27"/>
      <c r="Q40" s="27"/>
      <c r="R40" s="27"/>
      <c r="S40" s="27"/>
      <c r="T40" s="27"/>
      <c r="U40" s="27"/>
      <c r="V40" s="27"/>
      <c r="W40" s="27"/>
      <c r="X40" s="27"/>
      <c r="Y40" s="27"/>
      <c r="Z40" s="27"/>
      <c r="AA40" s="27"/>
      <c r="AB40" s="27"/>
      <c r="AC40" s="27"/>
      <c r="AD40" s="27"/>
      <c r="AE40" s="27"/>
      <c r="AF40" s="27"/>
      <c r="AG40" s="27"/>
      <c r="AH40" s="27"/>
      <c r="AI40" s="27"/>
      <c r="AJ40" s="27"/>
      <c r="AK40" s="27"/>
      <c r="AL40" s="27"/>
      <c r="AM40" s="27"/>
      <c r="AN40" s="27"/>
      <c r="AO40" s="27"/>
      <c r="AP40" s="27"/>
      <c r="AQ40" s="27"/>
      <c r="AR40" s="27"/>
      <c r="AS40" s="27"/>
      <c r="AT40" s="27"/>
      <c r="AU40" s="27"/>
      <c r="AV40" s="27"/>
      <c r="AW40" s="27"/>
      <c r="AX40" s="27"/>
      <c r="AY40" s="36"/>
      <c r="AZ40" s="36"/>
      <c r="BA40" s="36"/>
      <c r="BB40" s="36"/>
    </row>
    <row r="41" spans="2:54">
      <c r="B41" s="27"/>
      <c r="D41" s="27"/>
      <c r="F41" s="27"/>
      <c r="H41" s="27"/>
      <c r="I41" s="27"/>
      <c r="J41" s="27"/>
      <c r="K41" s="27"/>
      <c r="L41" s="27"/>
      <c r="M41" s="27"/>
      <c r="N41" s="27"/>
      <c r="O41" s="27"/>
      <c r="P41" s="27"/>
      <c r="Q41" s="27"/>
      <c r="R41" s="27"/>
      <c r="S41" s="27"/>
      <c r="T41" s="27"/>
      <c r="U41" s="27"/>
      <c r="V41" s="27"/>
      <c r="W41" s="27"/>
      <c r="X41" s="27"/>
      <c r="Y41" s="27"/>
      <c r="Z41" s="27"/>
      <c r="AA41" s="27"/>
      <c r="AB41" s="27"/>
      <c r="AC41" s="27"/>
      <c r="AD41" s="27"/>
      <c r="AE41" s="27"/>
      <c r="AF41" s="27"/>
      <c r="AG41" s="27"/>
      <c r="AH41" s="27"/>
      <c r="AI41" s="27"/>
      <c r="AJ41" s="27"/>
      <c r="AK41" s="27"/>
      <c r="AL41" s="27"/>
      <c r="AM41" s="27"/>
      <c r="AN41" s="27"/>
      <c r="AO41" s="27"/>
      <c r="AP41" s="27"/>
      <c r="AQ41" s="27"/>
      <c r="AR41" s="27"/>
      <c r="AS41" s="27"/>
      <c r="AT41" s="27"/>
      <c r="AU41" s="27"/>
      <c r="AV41" s="27"/>
      <c r="AW41" s="27"/>
      <c r="AX41" s="27"/>
      <c r="AY41" s="36"/>
      <c r="AZ41" s="36"/>
      <c r="BA41" s="36"/>
      <c r="BB41" s="36"/>
    </row>
    <row r="42" spans="2:54">
      <c r="B42" s="27"/>
      <c r="D42" s="27"/>
      <c r="F42" s="27"/>
      <c r="H42" s="27"/>
      <c r="I42" s="27"/>
      <c r="J42" s="27"/>
      <c r="K42" s="27"/>
      <c r="L42" s="27"/>
      <c r="M42" s="27"/>
      <c r="N42" s="27"/>
      <c r="O42" s="27"/>
      <c r="P42" s="27"/>
      <c r="Q42" s="27"/>
      <c r="R42" s="27"/>
      <c r="S42" s="27"/>
      <c r="T42" s="27"/>
      <c r="U42" s="27"/>
      <c r="V42" s="27"/>
      <c r="W42" s="27"/>
      <c r="X42" s="27"/>
      <c r="Y42" s="27"/>
      <c r="Z42" s="27"/>
      <c r="AA42" s="27"/>
      <c r="AB42" s="27"/>
      <c r="AC42" s="27"/>
      <c r="AD42" s="27"/>
      <c r="AE42" s="27"/>
      <c r="AF42" s="27"/>
      <c r="AG42" s="27"/>
      <c r="AH42" s="27"/>
      <c r="AI42" s="27"/>
      <c r="AJ42" s="27"/>
      <c r="AK42" s="27"/>
      <c r="AL42" s="27"/>
      <c r="AM42" s="27"/>
      <c r="AN42" s="27"/>
      <c r="AO42" s="27"/>
      <c r="AP42" s="27"/>
      <c r="AQ42" s="27"/>
      <c r="AR42" s="27"/>
      <c r="AS42" s="27"/>
      <c r="AT42" s="27"/>
      <c r="AU42" s="27"/>
      <c r="AV42" s="27"/>
      <c r="AW42" s="27"/>
      <c r="AX42" s="27"/>
      <c r="AY42" s="36"/>
      <c r="AZ42" s="36"/>
      <c r="BA42" s="36"/>
      <c r="BB42" s="36"/>
    </row>
    <row r="43" spans="2:54">
      <c r="B43" s="27"/>
      <c r="D43" s="27"/>
      <c r="F43" s="27"/>
      <c r="H43" s="27"/>
      <c r="I43" s="27"/>
      <c r="J43" s="27"/>
      <c r="K43" s="27"/>
      <c r="L43" s="27"/>
      <c r="M43" s="27"/>
      <c r="N43" s="27"/>
      <c r="O43" s="27"/>
      <c r="P43" s="27"/>
      <c r="Q43" s="27"/>
      <c r="R43" s="27"/>
      <c r="S43" s="27"/>
      <c r="T43" s="27"/>
      <c r="U43" s="27"/>
      <c r="V43" s="27"/>
      <c r="W43" s="27"/>
      <c r="X43" s="27"/>
      <c r="Y43" s="27"/>
      <c r="Z43" s="27"/>
      <c r="AA43" s="27"/>
      <c r="AB43" s="27"/>
      <c r="AC43" s="27"/>
      <c r="AD43" s="27"/>
      <c r="AE43" s="27"/>
      <c r="AF43" s="27"/>
      <c r="AG43" s="27"/>
      <c r="AH43" s="27"/>
      <c r="AI43" s="27"/>
      <c r="AJ43" s="27"/>
      <c r="AK43" s="27"/>
      <c r="AL43" s="27"/>
      <c r="AM43" s="27"/>
      <c r="AN43" s="27"/>
      <c r="AO43" s="27"/>
      <c r="AP43" s="27"/>
      <c r="AQ43" s="27"/>
      <c r="AR43" s="27"/>
      <c r="AS43" s="27"/>
      <c r="AT43" s="27"/>
      <c r="AU43" s="27"/>
      <c r="AV43" s="27"/>
      <c r="AW43" s="27"/>
      <c r="AX43" s="27"/>
      <c r="AY43" s="36"/>
      <c r="AZ43" s="36"/>
      <c r="BA43" s="36"/>
      <c r="BB43" s="36"/>
    </row>
    <row r="44" spans="2:54">
      <c r="B44" s="27"/>
      <c r="D44" s="27"/>
      <c r="F44" s="27"/>
      <c r="H44" s="27"/>
      <c r="I44" s="27"/>
      <c r="J44" s="27"/>
      <c r="K44" s="27"/>
      <c r="L44" s="27"/>
      <c r="M44" s="27"/>
      <c r="N44" s="27"/>
      <c r="O44" s="27"/>
      <c r="P44" s="27"/>
      <c r="Q44" s="27"/>
      <c r="R44" s="27"/>
      <c r="S44" s="27"/>
      <c r="T44" s="27"/>
      <c r="U44" s="27"/>
      <c r="V44" s="27"/>
      <c r="W44" s="27"/>
      <c r="X44" s="27"/>
      <c r="Y44" s="27"/>
      <c r="Z44" s="27"/>
      <c r="AA44" s="27"/>
      <c r="AB44" s="27"/>
      <c r="AC44" s="27"/>
      <c r="AD44" s="27"/>
      <c r="AE44" s="27"/>
      <c r="AF44" s="27"/>
      <c r="AG44" s="27"/>
      <c r="AH44" s="27"/>
      <c r="AI44" s="27"/>
      <c r="AJ44" s="27"/>
      <c r="AK44" s="27"/>
      <c r="AL44" s="27"/>
      <c r="AM44" s="27"/>
      <c r="AN44" s="27"/>
      <c r="AO44" s="27"/>
      <c r="AP44" s="27"/>
      <c r="AQ44" s="27"/>
      <c r="AR44" s="27"/>
      <c r="AS44" s="27"/>
      <c r="AT44" s="27"/>
      <c r="AU44" s="27"/>
      <c r="AV44" s="27"/>
      <c r="AW44" s="27"/>
      <c r="AX44" s="27"/>
      <c r="AY44" s="36"/>
      <c r="AZ44" s="36"/>
      <c r="BA44" s="36"/>
      <c r="BB44" s="36"/>
    </row>
    <row r="45" spans="2:54">
      <c r="B45" s="27"/>
      <c r="D45" s="27"/>
      <c r="F45" s="27"/>
      <c r="H45" s="27"/>
      <c r="I45" s="27"/>
      <c r="J45" s="27"/>
      <c r="K45" s="27"/>
      <c r="L45" s="27"/>
      <c r="M45" s="27"/>
      <c r="N45" s="27"/>
      <c r="O45" s="27"/>
      <c r="P45" s="27"/>
      <c r="Q45" s="27"/>
      <c r="R45" s="27"/>
      <c r="S45" s="27"/>
      <c r="T45" s="27"/>
      <c r="U45" s="27"/>
      <c r="V45" s="27"/>
      <c r="W45" s="27"/>
      <c r="X45" s="27"/>
      <c r="Y45" s="27"/>
      <c r="Z45" s="27"/>
      <c r="AA45" s="27"/>
      <c r="AB45" s="27"/>
      <c r="AC45" s="27"/>
      <c r="AD45" s="27"/>
      <c r="AE45" s="27"/>
      <c r="AF45" s="27"/>
      <c r="AG45" s="27"/>
      <c r="AH45" s="27"/>
      <c r="AI45" s="27"/>
      <c r="AJ45" s="27"/>
      <c r="AK45" s="27"/>
      <c r="AL45" s="27"/>
      <c r="AM45" s="27"/>
      <c r="AN45" s="27"/>
      <c r="AO45" s="27"/>
      <c r="AP45" s="27"/>
      <c r="AQ45" s="27"/>
      <c r="AR45" s="27"/>
      <c r="AS45" s="27"/>
      <c r="AT45" s="27"/>
      <c r="AU45" s="27"/>
      <c r="AV45" s="27"/>
      <c r="AW45" s="27"/>
      <c r="AX45" s="27"/>
      <c r="AY45" s="36"/>
      <c r="AZ45" s="36"/>
      <c r="BA45" s="36"/>
      <c r="BB45" s="36"/>
    </row>
    <row r="46" spans="2:54">
      <c r="B46" s="27"/>
      <c r="D46" s="27"/>
      <c r="F46" s="27"/>
      <c r="H46" s="27"/>
      <c r="I46" s="27"/>
      <c r="J46" s="27"/>
      <c r="K46" s="27"/>
      <c r="L46" s="27"/>
      <c r="M46" s="27"/>
      <c r="N46" s="27"/>
      <c r="O46" s="27"/>
      <c r="P46" s="27"/>
      <c r="Q46" s="27"/>
      <c r="R46" s="27"/>
      <c r="S46" s="27"/>
      <c r="T46" s="27"/>
      <c r="U46" s="27"/>
      <c r="V46" s="27"/>
      <c r="W46" s="27"/>
      <c r="X46" s="27"/>
      <c r="Y46" s="27"/>
      <c r="Z46" s="27"/>
      <c r="AA46" s="27"/>
      <c r="AB46" s="27"/>
      <c r="AC46" s="27"/>
      <c r="AD46" s="27"/>
      <c r="AE46" s="27"/>
      <c r="AF46" s="27"/>
      <c r="AG46" s="27"/>
      <c r="AH46" s="27"/>
      <c r="AI46" s="27"/>
      <c r="AJ46" s="27"/>
      <c r="AK46" s="27"/>
      <c r="AL46" s="27"/>
      <c r="AM46" s="27"/>
      <c r="AN46" s="27"/>
      <c r="AO46" s="27"/>
      <c r="AP46" s="27"/>
      <c r="AQ46" s="27"/>
      <c r="AR46" s="27"/>
      <c r="AS46" s="27"/>
      <c r="AT46" s="27"/>
      <c r="AU46" s="27"/>
      <c r="AV46" s="27"/>
      <c r="AW46" s="27"/>
      <c r="AX46" s="27"/>
      <c r="AY46" s="36"/>
      <c r="AZ46" s="36"/>
      <c r="BA46" s="36"/>
      <c r="BB46" s="36"/>
    </row>
    <row r="47" spans="2:54">
      <c r="B47" s="27"/>
      <c r="D47" s="27"/>
      <c r="F47" s="27"/>
      <c r="H47" s="27"/>
      <c r="I47" s="27"/>
      <c r="J47" s="27"/>
      <c r="K47" s="27"/>
      <c r="L47" s="27"/>
      <c r="M47" s="27"/>
      <c r="N47" s="27"/>
      <c r="O47" s="27"/>
      <c r="P47" s="27"/>
      <c r="Q47" s="27"/>
      <c r="R47" s="27"/>
      <c r="S47" s="27"/>
      <c r="T47" s="27"/>
      <c r="U47" s="27"/>
      <c r="V47" s="27"/>
      <c r="W47" s="27"/>
      <c r="X47" s="27"/>
      <c r="Y47" s="27"/>
      <c r="Z47" s="27"/>
      <c r="AA47" s="27"/>
      <c r="AB47" s="27"/>
      <c r="AC47" s="27"/>
      <c r="AD47" s="27"/>
      <c r="AE47" s="27"/>
      <c r="AF47" s="27"/>
      <c r="AG47" s="27"/>
      <c r="AH47" s="27"/>
      <c r="AI47" s="27"/>
      <c r="AJ47" s="27"/>
      <c r="AK47" s="27"/>
      <c r="AL47" s="27"/>
      <c r="AM47" s="27"/>
      <c r="AN47" s="27"/>
      <c r="AO47" s="27"/>
      <c r="AP47" s="27"/>
      <c r="AQ47" s="27"/>
      <c r="AR47" s="27"/>
      <c r="AS47" s="27"/>
      <c r="AT47" s="27"/>
      <c r="AU47" s="27"/>
      <c r="AV47" s="27"/>
      <c r="AW47" s="27"/>
      <c r="AX47" s="27"/>
      <c r="AY47" s="36"/>
      <c r="AZ47" s="36"/>
      <c r="BA47" s="36"/>
      <c r="BB47" s="36"/>
    </row>
    <row r="48" spans="2:54">
      <c r="B48" s="27"/>
      <c r="D48" s="27"/>
      <c r="F48" s="27"/>
      <c r="H48" s="27"/>
      <c r="I48" s="27"/>
      <c r="J48" s="27"/>
      <c r="K48" s="27"/>
      <c r="L48" s="27"/>
      <c r="M48" s="27"/>
      <c r="N48" s="27"/>
      <c r="O48" s="27"/>
      <c r="P48" s="27"/>
      <c r="Q48" s="27"/>
      <c r="R48" s="27"/>
      <c r="S48" s="27"/>
      <c r="T48" s="27"/>
      <c r="U48" s="27"/>
      <c r="V48" s="27"/>
      <c r="W48" s="27"/>
      <c r="X48" s="27"/>
      <c r="Y48" s="27"/>
      <c r="Z48" s="27"/>
      <c r="AA48" s="27"/>
      <c r="AB48" s="27"/>
      <c r="AC48" s="27"/>
      <c r="AD48" s="27"/>
      <c r="AE48" s="27"/>
      <c r="AF48" s="27"/>
      <c r="AG48" s="27"/>
      <c r="AH48" s="27"/>
      <c r="AI48" s="27"/>
      <c r="AJ48" s="27"/>
      <c r="AK48" s="27"/>
      <c r="AL48" s="27"/>
      <c r="AM48" s="27"/>
      <c r="AN48" s="27"/>
      <c r="AO48" s="27"/>
      <c r="AP48" s="27"/>
      <c r="AQ48" s="27"/>
      <c r="AR48" s="27"/>
      <c r="AS48" s="27"/>
      <c r="AT48" s="27"/>
      <c r="AU48" s="27"/>
      <c r="AV48" s="27"/>
      <c r="AW48" s="27"/>
      <c r="AX48" s="27"/>
      <c r="AY48" s="36"/>
      <c r="AZ48" s="36"/>
      <c r="BA48" s="36"/>
      <c r="BB48" s="36"/>
    </row>
    <row r="49" spans="2:54">
      <c r="B49" s="27"/>
      <c r="D49" s="27"/>
      <c r="F49" s="27"/>
      <c r="H49" s="27"/>
      <c r="I49" s="27"/>
      <c r="J49" s="27"/>
      <c r="K49" s="27"/>
      <c r="L49" s="27"/>
      <c r="M49" s="27"/>
      <c r="N49" s="27"/>
      <c r="O49" s="27"/>
      <c r="P49" s="27"/>
      <c r="Q49" s="27"/>
      <c r="R49" s="27"/>
      <c r="S49" s="27"/>
      <c r="T49" s="27"/>
      <c r="U49" s="27"/>
      <c r="V49" s="27"/>
      <c r="W49" s="27"/>
      <c r="X49" s="27"/>
      <c r="Y49" s="27"/>
      <c r="Z49" s="27"/>
      <c r="AA49" s="27"/>
      <c r="AB49" s="27"/>
      <c r="AC49" s="27"/>
      <c r="AD49" s="27"/>
      <c r="AE49" s="27"/>
      <c r="AF49" s="27"/>
      <c r="AG49" s="27"/>
      <c r="AH49" s="27"/>
      <c r="AI49" s="27"/>
      <c r="AJ49" s="27"/>
      <c r="AK49" s="27"/>
      <c r="AL49" s="27"/>
      <c r="AM49" s="27"/>
      <c r="AN49" s="27"/>
      <c r="AO49" s="27"/>
      <c r="AP49" s="27"/>
      <c r="AQ49" s="27"/>
      <c r="AR49" s="27"/>
      <c r="AS49" s="27"/>
      <c r="AT49" s="27"/>
      <c r="AU49" s="27"/>
      <c r="AV49" s="27"/>
      <c r="AW49" s="27"/>
      <c r="AX49" s="27"/>
      <c r="AY49" s="36"/>
      <c r="AZ49" s="36"/>
      <c r="BA49" s="36"/>
      <c r="BB49" s="36"/>
    </row>
    <row r="50" spans="2:54">
      <c r="B50" s="27"/>
      <c r="D50" s="27"/>
      <c r="F50" s="27"/>
      <c r="H50" s="27"/>
      <c r="I50" s="27"/>
      <c r="J50" s="27"/>
      <c r="K50" s="27"/>
      <c r="L50" s="27"/>
      <c r="M50" s="27"/>
      <c r="N50" s="27"/>
      <c r="O50" s="27"/>
      <c r="P50" s="27"/>
      <c r="Q50" s="27"/>
      <c r="R50" s="27"/>
      <c r="S50" s="27"/>
      <c r="T50" s="27"/>
      <c r="U50" s="27"/>
      <c r="V50" s="27"/>
      <c r="W50" s="27"/>
      <c r="X50" s="27"/>
      <c r="Y50" s="27"/>
      <c r="Z50" s="27"/>
      <c r="AA50" s="27"/>
      <c r="AB50" s="27"/>
      <c r="AC50" s="27"/>
      <c r="AD50" s="27"/>
      <c r="AE50" s="27"/>
      <c r="AF50" s="27"/>
      <c r="AG50" s="27"/>
      <c r="AH50" s="27"/>
      <c r="AI50" s="27"/>
      <c r="AJ50" s="27"/>
      <c r="AK50" s="27"/>
      <c r="AL50" s="27"/>
      <c r="AM50" s="27"/>
      <c r="AN50" s="27"/>
      <c r="AO50" s="27"/>
      <c r="AP50" s="27"/>
      <c r="AQ50" s="27"/>
      <c r="AR50" s="27"/>
      <c r="AS50" s="27"/>
      <c r="AT50" s="27"/>
      <c r="AU50" s="27"/>
      <c r="AV50" s="27"/>
      <c r="AW50" s="27"/>
      <c r="AX50" s="27"/>
      <c r="AY50" s="36"/>
      <c r="AZ50" s="36"/>
      <c r="BA50" s="36"/>
      <c r="BB50" s="36"/>
    </row>
    <row r="51" spans="2:54">
      <c r="B51" s="27"/>
      <c r="D51" s="27"/>
      <c r="F51" s="27"/>
      <c r="H51" s="27"/>
      <c r="I51" s="27"/>
      <c r="J51" s="27"/>
      <c r="K51" s="27"/>
      <c r="L51" s="27"/>
      <c r="M51" s="27"/>
      <c r="N51" s="27"/>
      <c r="O51" s="27"/>
      <c r="P51" s="27"/>
      <c r="Q51" s="27"/>
      <c r="R51" s="27"/>
      <c r="S51" s="27"/>
      <c r="T51" s="27"/>
      <c r="U51" s="27"/>
      <c r="V51" s="27"/>
      <c r="W51" s="27"/>
      <c r="X51" s="27"/>
      <c r="Y51" s="27"/>
      <c r="Z51" s="27"/>
      <c r="AA51" s="27"/>
      <c r="AB51" s="27"/>
      <c r="AC51" s="27"/>
      <c r="AD51" s="27"/>
      <c r="AE51" s="27"/>
      <c r="AF51" s="27"/>
      <c r="AG51" s="27"/>
      <c r="AH51" s="27"/>
      <c r="AI51" s="27"/>
      <c r="AJ51" s="27"/>
      <c r="AK51" s="27"/>
      <c r="AL51" s="27"/>
      <c r="AM51" s="27"/>
      <c r="AN51" s="27"/>
      <c r="AO51" s="27"/>
      <c r="AP51" s="27"/>
      <c r="AQ51" s="27"/>
      <c r="AR51" s="27"/>
      <c r="AS51" s="27"/>
      <c r="AT51" s="27"/>
      <c r="AU51" s="27"/>
      <c r="AV51" s="27"/>
      <c r="AW51" s="27"/>
      <c r="AX51" s="27"/>
      <c r="AY51" s="36"/>
      <c r="AZ51" s="36"/>
      <c r="BA51" s="36"/>
      <c r="BB51" s="36"/>
    </row>
    <row r="52" spans="2:54">
      <c r="B52" s="27"/>
      <c r="D52" s="27"/>
      <c r="F52" s="27"/>
      <c r="H52" s="27"/>
      <c r="I52" s="27"/>
      <c r="J52" s="27"/>
      <c r="K52" s="27"/>
      <c r="L52" s="27"/>
      <c r="M52" s="27"/>
      <c r="N52" s="27"/>
      <c r="O52" s="27"/>
      <c r="P52" s="27"/>
      <c r="Q52" s="27"/>
      <c r="R52" s="27"/>
      <c r="S52" s="27"/>
      <c r="T52" s="27"/>
      <c r="U52" s="27"/>
      <c r="V52" s="27"/>
      <c r="W52" s="27"/>
      <c r="X52" s="27"/>
      <c r="Y52" s="27"/>
      <c r="Z52" s="27"/>
      <c r="AA52" s="27"/>
      <c r="AB52" s="27"/>
      <c r="AC52" s="27"/>
      <c r="AD52" s="27"/>
      <c r="AE52" s="27"/>
      <c r="AF52" s="27"/>
      <c r="AG52" s="27"/>
      <c r="AH52" s="27"/>
      <c r="AI52" s="27"/>
      <c r="AJ52" s="27"/>
      <c r="AK52" s="27"/>
      <c r="AL52" s="27"/>
      <c r="AM52" s="27"/>
      <c r="AN52" s="27"/>
      <c r="AO52" s="27"/>
      <c r="AP52" s="27"/>
      <c r="AQ52" s="27"/>
      <c r="AR52" s="27"/>
      <c r="AS52" s="27"/>
      <c r="AT52" s="27"/>
      <c r="AU52" s="27"/>
      <c r="AV52" s="27"/>
      <c r="AW52" s="27"/>
      <c r="AX52" s="27"/>
      <c r="AY52" s="36"/>
      <c r="AZ52" s="36"/>
      <c r="BA52" s="36"/>
      <c r="BB52" s="36"/>
    </row>
    <row r="53" spans="2:54">
      <c r="B53" s="27"/>
      <c r="D53" s="27"/>
      <c r="F53" s="27"/>
      <c r="H53" s="27"/>
      <c r="I53" s="27"/>
      <c r="J53" s="27"/>
      <c r="K53" s="27"/>
      <c r="L53" s="27"/>
      <c r="M53" s="27"/>
      <c r="N53" s="27"/>
      <c r="O53" s="27"/>
      <c r="P53" s="27"/>
      <c r="Q53" s="27"/>
      <c r="R53" s="27"/>
      <c r="S53" s="27"/>
      <c r="T53" s="27"/>
      <c r="U53" s="27"/>
      <c r="V53" s="27"/>
      <c r="W53" s="27"/>
      <c r="X53" s="27"/>
      <c r="Y53" s="27"/>
      <c r="Z53" s="27"/>
      <c r="AA53" s="27"/>
      <c r="AB53" s="27"/>
      <c r="AC53" s="27"/>
      <c r="AD53" s="27"/>
      <c r="AE53" s="27"/>
      <c r="AF53" s="27"/>
      <c r="AG53" s="27"/>
      <c r="AH53" s="27"/>
      <c r="AI53" s="27"/>
      <c r="AJ53" s="27"/>
      <c r="AK53" s="27"/>
      <c r="AL53" s="27"/>
      <c r="AM53" s="27"/>
      <c r="AN53" s="27"/>
      <c r="AO53" s="27"/>
      <c r="AP53" s="27"/>
      <c r="AQ53" s="27"/>
      <c r="AR53" s="27"/>
      <c r="AS53" s="27"/>
      <c r="AT53" s="27"/>
      <c r="AU53" s="27"/>
      <c r="AV53" s="27"/>
      <c r="AW53" s="27"/>
      <c r="AX53" s="27"/>
      <c r="AY53" s="36"/>
      <c r="AZ53" s="36"/>
      <c r="BA53" s="36"/>
      <c r="BB53" s="36"/>
    </row>
    <row r="54" spans="2:54">
      <c r="B54" s="27"/>
      <c r="D54" s="27"/>
      <c r="F54" s="27"/>
      <c r="H54" s="27"/>
      <c r="I54" s="27"/>
      <c r="J54" s="27"/>
      <c r="K54" s="27"/>
      <c r="L54" s="27"/>
      <c r="M54" s="27"/>
      <c r="N54" s="27"/>
      <c r="O54" s="27"/>
      <c r="P54" s="27"/>
      <c r="Q54" s="27"/>
      <c r="R54" s="27"/>
      <c r="S54" s="27"/>
      <c r="T54" s="27"/>
      <c r="U54" s="27"/>
      <c r="V54" s="27"/>
      <c r="W54" s="27"/>
      <c r="X54" s="27"/>
      <c r="Y54" s="27"/>
      <c r="Z54" s="27"/>
      <c r="AA54" s="27"/>
      <c r="AB54" s="27"/>
      <c r="AC54" s="27"/>
      <c r="AD54" s="27"/>
      <c r="AE54" s="27"/>
      <c r="AF54" s="27"/>
      <c r="AG54" s="27"/>
      <c r="AH54" s="27"/>
      <c r="AI54" s="27"/>
      <c r="AJ54" s="27"/>
      <c r="AK54" s="27"/>
      <c r="AL54" s="27"/>
      <c r="AM54" s="27"/>
      <c r="AN54" s="27"/>
      <c r="AO54" s="27"/>
      <c r="AP54" s="27"/>
      <c r="AQ54" s="27"/>
      <c r="AR54" s="27"/>
      <c r="AS54" s="27"/>
      <c r="AT54" s="27"/>
      <c r="AU54" s="27"/>
      <c r="AV54" s="27"/>
      <c r="AW54" s="27"/>
      <c r="AX54" s="27"/>
      <c r="AY54" s="36"/>
      <c r="AZ54" s="36"/>
      <c r="BA54" s="36"/>
      <c r="BB54" s="36"/>
    </row>
    <row r="55" spans="2:54">
      <c r="B55" s="27"/>
      <c r="D55" s="27"/>
      <c r="F55" s="27"/>
      <c r="H55" s="27"/>
      <c r="I55" s="27"/>
      <c r="J55" s="27"/>
      <c r="K55" s="27"/>
      <c r="L55" s="27"/>
      <c r="M55" s="27"/>
      <c r="N55" s="27"/>
      <c r="O55" s="27"/>
      <c r="P55" s="27"/>
      <c r="Q55" s="27"/>
      <c r="R55" s="27"/>
      <c r="S55" s="27"/>
      <c r="T55" s="27"/>
      <c r="U55" s="27"/>
      <c r="V55" s="27"/>
      <c r="W55" s="27"/>
      <c r="X55" s="27"/>
      <c r="Y55" s="27"/>
      <c r="Z55" s="27"/>
      <c r="AA55" s="27"/>
      <c r="AB55" s="27"/>
      <c r="AC55" s="27"/>
      <c r="AD55" s="27"/>
      <c r="AE55" s="27"/>
      <c r="AF55" s="27"/>
      <c r="AG55" s="27"/>
      <c r="AH55" s="27"/>
      <c r="AI55" s="27"/>
      <c r="AJ55" s="27"/>
      <c r="AK55" s="27"/>
      <c r="AL55" s="27"/>
      <c r="AM55" s="27"/>
      <c r="AN55" s="27"/>
      <c r="AO55" s="27"/>
      <c r="AP55" s="27"/>
      <c r="AQ55" s="27"/>
      <c r="AR55" s="27"/>
      <c r="AS55" s="27"/>
      <c r="AT55" s="27"/>
      <c r="AU55" s="27"/>
      <c r="AV55" s="27"/>
      <c r="AW55" s="27"/>
      <c r="AX55" s="27"/>
      <c r="AY55" s="36"/>
      <c r="AZ55" s="36"/>
      <c r="BA55" s="36"/>
      <c r="BB55" s="36"/>
    </row>
    <row r="56" spans="2:54">
      <c r="B56" s="27"/>
      <c r="D56" s="27"/>
      <c r="F56" s="27"/>
      <c r="H56" s="27"/>
      <c r="I56" s="27"/>
      <c r="J56" s="27"/>
      <c r="K56" s="27"/>
      <c r="L56" s="27"/>
      <c r="M56" s="27"/>
      <c r="N56" s="27"/>
      <c r="O56" s="27"/>
      <c r="P56" s="27"/>
      <c r="Q56" s="27"/>
      <c r="R56" s="27"/>
      <c r="S56" s="27"/>
      <c r="T56" s="27"/>
      <c r="U56" s="27"/>
      <c r="V56" s="27"/>
      <c r="W56" s="27"/>
      <c r="X56" s="27"/>
      <c r="Y56" s="27"/>
      <c r="Z56" s="27"/>
      <c r="AA56" s="27"/>
      <c r="AB56" s="27"/>
      <c r="AC56" s="27"/>
      <c r="AD56" s="27"/>
      <c r="AE56" s="27"/>
      <c r="AF56" s="27"/>
      <c r="AG56" s="27"/>
      <c r="AH56" s="27"/>
      <c r="AI56" s="27"/>
      <c r="AJ56" s="27"/>
      <c r="AK56" s="27"/>
      <c r="AL56" s="27"/>
      <c r="AM56" s="27"/>
      <c r="AN56" s="27"/>
      <c r="AO56" s="27"/>
      <c r="AP56" s="27"/>
      <c r="AQ56" s="27"/>
      <c r="AR56" s="27"/>
      <c r="AS56" s="27"/>
      <c r="AT56" s="27"/>
      <c r="AU56" s="27"/>
      <c r="AV56" s="27"/>
      <c r="AW56" s="27"/>
      <c r="AX56" s="27"/>
      <c r="AY56" s="36"/>
      <c r="AZ56" s="36"/>
      <c r="BA56" s="36"/>
      <c r="BB56" s="36"/>
    </row>
    <row r="57" spans="2:54">
      <c r="B57" s="27"/>
      <c r="D57" s="27"/>
      <c r="F57" s="27"/>
      <c r="H57" s="27"/>
      <c r="I57" s="27"/>
      <c r="J57" s="27"/>
      <c r="K57" s="27"/>
      <c r="L57" s="27"/>
      <c r="M57" s="27"/>
      <c r="N57" s="27"/>
      <c r="O57" s="27"/>
      <c r="P57" s="27"/>
      <c r="Q57" s="27"/>
      <c r="R57" s="27"/>
      <c r="S57" s="27"/>
      <c r="T57" s="27"/>
      <c r="U57" s="27"/>
      <c r="V57" s="27"/>
      <c r="W57" s="27"/>
      <c r="X57" s="27"/>
      <c r="Y57" s="27"/>
      <c r="Z57" s="27"/>
      <c r="AA57" s="27"/>
      <c r="AB57" s="27"/>
      <c r="AC57" s="27"/>
      <c r="AD57" s="27"/>
      <c r="AE57" s="27"/>
      <c r="AF57" s="27"/>
      <c r="AG57" s="27"/>
      <c r="AH57" s="27"/>
      <c r="AI57" s="27"/>
      <c r="AJ57" s="27"/>
      <c r="AK57" s="27"/>
      <c r="AL57" s="27"/>
      <c r="AM57" s="27"/>
      <c r="AN57" s="27"/>
      <c r="AO57" s="27"/>
      <c r="AP57" s="27"/>
      <c r="AQ57" s="27"/>
      <c r="AR57" s="27"/>
      <c r="AS57" s="27"/>
      <c r="AT57" s="27"/>
      <c r="AU57" s="27"/>
      <c r="AV57" s="27"/>
      <c r="AW57" s="27"/>
      <c r="AX57" s="27"/>
      <c r="AY57" s="36"/>
      <c r="AZ57" s="36"/>
      <c r="BA57" s="36"/>
      <c r="BB57" s="36"/>
    </row>
    <row r="58" spans="2:54">
      <c r="B58" s="27"/>
      <c r="D58" s="27"/>
      <c r="F58" s="27"/>
      <c r="H58" s="27"/>
      <c r="I58" s="27"/>
      <c r="J58" s="27"/>
      <c r="K58" s="27"/>
      <c r="L58" s="27"/>
      <c r="M58" s="27"/>
      <c r="N58" s="27"/>
      <c r="O58" s="27"/>
      <c r="P58" s="27"/>
      <c r="Q58" s="27"/>
      <c r="R58" s="27"/>
      <c r="S58" s="27"/>
      <c r="T58" s="27"/>
      <c r="U58" s="27"/>
      <c r="V58" s="27"/>
      <c r="W58" s="27"/>
      <c r="X58" s="27"/>
      <c r="Y58" s="27"/>
      <c r="Z58" s="27"/>
      <c r="AA58" s="27"/>
      <c r="AB58" s="27"/>
      <c r="AC58" s="27"/>
      <c r="AD58" s="27"/>
      <c r="AE58" s="27"/>
      <c r="AF58" s="27"/>
      <c r="AG58" s="27"/>
      <c r="AH58" s="27"/>
      <c r="AI58" s="27"/>
      <c r="AJ58" s="27"/>
      <c r="AK58" s="27"/>
      <c r="AL58" s="27"/>
      <c r="AM58" s="27"/>
      <c r="AN58" s="27"/>
      <c r="AO58" s="27"/>
      <c r="AP58" s="27"/>
      <c r="AQ58" s="27"/>
      <c r="AR58" s="27"/>
      <c r="AS58" s="27"/>
      <c r="AT58" s="27"/>
      <c r="AU58" s="27"/>
      <c r="AV58" s="27"/>
      <c r="AW58" s="27"/>
      <c r="AX58" s="27"/>
      <c r="AY58" s="36"/>
      <c r="AZ58" s="36"/>
      <c r="BA58" s="36"/>
      <c r="BB58" s="36"/>
    </row>
    <row r="59" spans="2:54">
      <c r="B59" s="27"/>
      <c r="D59" s="27"/>
      <c r="F59" s="27"/>
      <c r="H59" s="27"/>
      <c r="I59" s="27"/>
      <c r="J59" s="27"/>
      <c r="K59" s="27"/>
      <c r="L59" s="27"/>
      <c r="M59" s="27"/>
      <c r="N59" s="27"/>
      <c r="O59" s="27"/>
      <c r="P59" s="27"/>
      <c r="Q59" s="27"/>
      <c r="R59" s="27"/>
      <c r="S59" s="27"/>
      <c r="T59" s="27"/>
      <c r="U59" s="27"/>
      <c r="V59" s="27"/>
      <c r="W59" s="27"/>
      <c r="X59" s="27"/>
      <c r="Y59" s="27"/>
      <c r="Z59" s="27"/>
      <c r="AA59" s="27"/>
      <c r="AB59" s="27"/>
      <c r="AC59" s="27"/>
      <c r="AD59" s="27"/>
      <c r="AE59" s="27"/>
      <c r="AF59" s="27"/>
      <c r="AG59" s="27"/>
      <c r="AH59" s="27"/>
      <c r="AI59" s="27"/>
      <c r="AJ59" s="27"/>
      <c r="AK59" s="27"/>
      <c r="AL59" s="27"/>
      <c r="AM59" s="27"/>
      <c r="AN59" s="27"/>
      <c r="AO59" s="27"/>
      <c r="AP59" s="27"/>
      <c r="AQ59" s="27"/>
      <c r="AR59" s="27"/>
      <c r="AS59" s="27"/>
      <c r="AT59" s="27"/>
      <c r="AU59" s="27"/>
      <c r="AV59" s="27"/>
      <c r="AW59" s="27"/>
      <c r="AX59" s="27"/>
      <c r="AY59" s="36"/>
      <c r="AZ59" s="36"/>
      <c r="BA59" s="36"/>
      <c r="BB59" s="36"/>
    </row>
    <row r="60" spans="2:54">
      <c r="B60" s="27"/>
      <c r="D60" s="27"/>
      <c r="F60" s="27"/>
      <c r="H60" s="27"/>
      <c r="I60" s="27"/>
      <c r="J60" s="27"/>
      <c r="K60" s="27"/>
      <c r="L60" s="27"/>
      <c r="M60" s="27"/>
      <c r="N60" s="27"/>
      <c r="O60" s="27"/>
      <c r="P60" s="27"/>
      <c r="Q60" s="27"/>
      <c r="R60" s="27"/>
      <c r="S60" s="27"/>
      <c r="T60" s="27"/>
      <c r="U60" s="27"/>
      <c r="V60" s="27"/>
      <c r="W60" s="27"/>
      <c r="X60" s="27"/>
      <c r="Y60" s="27"/>
      <c r="Z60" s="27"/>
      <c r="AA60" s="27"/>
      <c r="AB60" s="27"/>
      <c r="AC60" s="27"/>
      <c r="AD60" s="27"/>
      <c r="AE60" s="27"/>
      <c r="AF60" s="27"/>
      <c r="AG60" s="27"/>
      <c r="AH60" s="27"/>
      <c r="AI60" s="27"/>
      <c r="AJ60" s="27"/>
      <c r="AK60" s="27"/>
      <c r="AL60" s="27"/>
      <c r="AM60" s="27"/>
      <c r="AN60" s="27"/>
      <c r="AO60" s="27"/>
      <c r="AP60" s="27"/>
      <c r="AQ60" s="27"/>
      <c r="AR60" s="27"/>
      <c r="AS60" s="27"/>
      <c r="AT60" s="27"/>
      <c r="AU60" s="27"/>
      <c r="AV60" s="27"/>
      <c r="AW60" s="27"/>
      <c r="AX60" s="27"/>
      <c r="AY60" s="36"/>
      <c r="AZ60" s="36"/>
      <c r="BA60" s="36"/>
      <c r="BB60" s="36"/>
    </row>
    <row r="61" spans="2:54">
      <c r="B61" s="27"/>
      <c r="D61" s="27"/>
      <c r="F61" s="27"/>
      <c r="H61" s="27"/>
      <c r="I61" s="27"/>
      <c r="J61" s="27"/>
      <c r="K61" s="27"/>
      <c r="L61" s="27"/>
      <c r="M61" s="27"/>
      <c r="N61" s="27"/>
      <c r="O61" s="27"/>
      <c r="P61" s="27"/>
      <c r="Q61" s="27"/>
      <c r="R61" s="27"/>
      <c r="S61" s="27"/>
      <c r="T61" s="27"/>
      <c r="U61" s="27"/>
      <c r="V61" s="27"/>
      <c r="W61" s="27"/>
      <c r="X61" s="27"/>
      <c r="Y61" s="27"/>
      <c r="Z61" s="27"/>
      <c r="AA61" s="27"/>
      <c r="AB61" s="27"/>
      <c r="AC61" s="27"/>
      <c r="AD61" s="27"/>
      <c r="AE61" s="27"/>
      <c r="AF61" s="27"/>
      <c r="AG61" s="27"/>
      <c r="AH61" s="27"/>
      <c r="AI61" s="27"/>
      <c r="AJ61" s="27"/>
      <c r="AK61" s="27"/>
      <c r="AL61" s="27"/>
      <c r="AM61" s="27"/>
      <c r="AN61" s="27"/>
      <c r="AO61" s="27"/>
      <c r="AP61" s="27"/>
      <c r="AQ61" s="27"/>
      <c r="AR61" s="27"/>
      <c r="AS61" s="27"/>
      <c r="AT61" s="27"/>
      <c r="AU61" s="27"/>
      <c r="AV61" s="27"/>
      <c r="AW61" s="27"/>
      <c r="AX61" s="27"/>
      <c r="AY61" s="36"/>
      <c r="AZ61" s="36"/>
      <c r="BA61" s="36"/>
      <c r="BB61" s="36"/>
    </row>
    <row r="62" spans="2:54">
      <c r="B62" s="27"/>
      <c r="D62" s="27"/>
      <c r="F62" s="27"/>
      <c r="H62" s="27"/>
      <c r="I62" s="27"/>
      <c r="J62" s="27"/>
      <c r="K62" s="27"/>
      <c r="L62" s="27"/>
      <c r="M62" s="27"/>
      <c r="N62" s="27"/>
      <c r="O62" s="27"/>
      <c r="P62" s="27"/>
      <c r="Q62" s="27"/>
      <c r="R62" s="27"/>
      <c r="S62" s="27"/>
      <c r="T62" s="27"/>
      <c r="U62" s="27"/>
      <c r="V62" s="27"/>
      <c r="W62" s="27"/>
      <c r="X62" s="27"/>
      <c r="Y62" s="27"/>
      <c r="Z62" s="27"/>
      <c r="AA62" s="27"/>
      <c r="AB62" s="27"/>
      <c r="AC62" s="27"/>
      <c r="AD62" s="27"/>
      <c r="AE62" s="27"/>
      <c r="AF62" s="27"/>
      <c r="AG62" s="27"/>
      <c r="AH62" s="27"/>
      <c r="AI62" s="27"/>
      <c r="AJ62" s="27"/>
      <c r="AK62" s="27"/>
      <c r="AL62" s="27"/>
      <c r="AM62" s="27"/>
      <c r="AN62" s="27"/>
      <c r="AO62" s="27"/>
      <c r="AP62" s="27"/>
      <c r="AQ62" s="27"/>
      <c r="AR62" s="27"/>
      <c r="AS62" s="27"/>
      <c r="AT62" s="27"/>
      <c r="AU62" s="27"/>
      <c r="AV62" s="27"/>
      <c r="AW62" s="27"/>
      <c r="AX62" s="27"/>
      <c r="AY62" s="36"/>
      <c r="AZ62" s="36"/>
      <c r="BA62" s="36"/>
      <c r="BB62" s="36"/>
    </row>
    <row r="63" spans="2:54">
      <c r="B63" s="27"/>
      <c r="D63" s="27"/>
      <c r="F63" s="27"/>
      <c r="H63" s="27"/>
      <c r="I63" s="27"/>
      <c r="J63" s="27"/>
      <c r="K63" s="27"/>
      <c r="L63" s="27"/>
      <c r="M63" s="27"/>
      <c r="N63" s="27"/>
      <c r="O63" s="27"/>
      <c r="P63" s="27"/>
      <c r="Q63" s="27"/>
      <c r="R63" s="27"/>
      <c r="S63" s="27"/>
      <c r="T63" s="27"/>
      <c r="U63" s="27"/>
      <c r="V63" s="27"/>
      <c r="W63" s="27"/>
      <c r="X63" s="27"/>
      <c r="Y63" s="27"/>
      <c r="Z63" s="27"/>
      <c r="AA63" s="27"/>
      <c r="AB63" s="27"/>
      <c r="AC63" s="27"/>
      <c r="AD63" s="27"/>
      <c r="AE63" s="27"/>
      <c r="AF63" s="27"/>
      <c r="AG63" s="27"/>
      <c r="AH63" s="27"/>
      <c r="AI63" s="27"/>
      <c r="AJ63" s="27"/>
      <c r="AK63" s="27"/>
      <c r="AL63" s="27"/>
      <c r="AM63" s="27"/>
      <c r="AN63" s="27"/>
      <c r="AO63" s="27"/>
      <c r="AP63" s="27"/>
      <c r="AQ63" s="27"/>
      <c r="AR63" s="27"/>
      <c r="AS63" s="27"/>
      <c r="AT63" s="27"/>
      <c r="AU63" s="27"/>
      <c r="AV63" s="27"/>
      <c r="AW63" s="27"/>
      <c r="AX63" s="27"/>
      <c r="AY63" s="36"/>
      <c r="AZ63" s="36"/>
      <c r="BA63" s="36"/>
      <c r="BB63" s="36"/>
    </row>
    <row r="64" spans="2:54">
      <c r="B64" s="27"/>
      <c r="D64" s="27"/>
      <c r="F64" s="27"/>
      <c r="H64" s="27"/>
      <c r="I64" s="27"/>
      <c r="J64" s="27"/>
      <c r="K64" s="27"/>
      <c r="L64" s="27"/>
      <c r="M64" s="27"/>
      <c r="N64" s="27"/>
      <c r="O64" s="27"/>
      <c r="P64" s="27"/>
      <c r="Q64" s="27"/>
      <c r="R64" s="27"/>
      <c r="S64" s="27"/>
      <c r="T64" s="27"/>
      <c r="U64" s="27"/>
      <c r="V64" s="27"/>
      <c r="W64" s="27"/>
      <c r="X64" s="27"/>
      <c r="Y64" s="27"/>
      <c r="Z64" s="27"/>
      <c r="AA64" s="27"/>
      <c r="AB64" s="27"/>
      <c r="AC64" s="27"/>
      <c r="AD64" s="27"/>
      <c r="AE64" s="27"/>
      <c r="AF64" s="27"/>
      <c r="AG64" s="27"/>
      <c r="AH64" s="27"/>
      <c r="AI64" s="27"/>
      <c r="AJ64" s="27"/>
      <c r="AK64" s="27"/>
      <c r="AL64" s="27"/>
      <c r="AM64" s="27"/>
      <c r="AN64" s="27"/>
      <c r="AO64" s="27"/>
      <c r="AP64" s="27"/>
      <c r="AQ64" s="27"/>
      <c r="AR64" s="27"/>
      <c r="AS64" s="27"/>
      <c r="AT64" s="27"/>
      <c r="AU64" s="27"/>
      <c r="AV64" s="27"/>
      <c r="AW64" s="27"/>
      <c r="AX64" s="27"/>
      <c r="AY64" s="36"/>
      <c r="AZ64" s="36"/>
      <c r="BA64" s="36"/>
      <c r="BB64" s="36"/>
    </row>
    <row r="65" spans="2:54">
      <c r="B65" s="27"/>
      <c r="D65" s="27"/>
      <c r="F65" s="27"/>
      <c r="H65" s="27"/>
      <c r="I65" s="27"/>
      <c r="J65" s="27"/>
      <c r="K65" s="27"/>
      <c r="L65" s="27"/>
      <c r="M65" s="27"/>
      <c r="N65" s="27"/>
      <c r="O65" s="27"/>
      <c r="P65" s="27"/>
      <c r="Q65" s="27"/>
      <c r="R65" s="27"/>
      <c r="S65" s="27"/>
      <c r="T65" s="27"/>
      <c r="U65" s="27"/>
      <c r="V65" s="27"/>
      <c r="W65" s="27"/>
      <c r="X65" s="27"/>
      <c r="Y65" s="27"/>
      <c r="Z65" s="27"/>
      <c r="AA65" s="27"/>
      <c r="AB65" s="27"/>
      <c r="AC65" s="27"/>
      <c r="AD65" s="27"/>
      <c r="AE65" s="27"/>
      <c r="AF65" s="27"/>
      <c r="AG65" s="27"/>
      <c r="AH65" s="27"/>
      <c r="AI65" s="27"/>
      <c r="AJ65" s="27"/>
      <c r="AK65" s="27"/>
      <c r="AL65" s="27"/>
      <c r="AM65" s="27"/>
      <c r="AN65" s="27"/>
      <c r="AO65" s="27"/>
      <c r="AP65" s="27"/>
      <c r="AQ65" s="27"/>
      <c r="AR65" s="27"/>
      <c r="AS65" s="27"/>
      <c r="AT65" s="27"/>
      <c r="AU65" s="27"/>
      <c r="AV65" s="27"/>
      <c r="AW65" s="27"/>
      <c r="AX65" s="27"/>
      <c r="AY65" s="36"/>
      <c r="AZ65" s="36"/>
      <c r="BA65" s="36"/>
      <c r="BB65" s="36"/>
    </row>
    <row r="66" spans="2:54">
      <c r="B66" s="27"/>
      <c r="D66" s="27"/>
      <c r="F66" s="27"/>
      <c r="H66" s="27"/>
      <c r="I66" s="27"/>
      <c r="J66" s="27"/>
      <c r="K66" s="27"/>
      <c r="L66" s="27"/>
      <c r="M66" s="27"/>
      <c r="N66" s="27"/>
      <c r="O66" s="27"/>
      <c r="P66" s="27"/>
      <c r="Q66" s="27"/>
      <c r="R66" s="27"/>
      <c r="S66" s="27"/>
      <c r="T66" s="27"/>
      <c r="U66" s="27"/>
      <c r="V66" s="27"/>
      <c r="W66" s="27"/>
      <c r="X66" s="27"/>
      <c r="Y66" s="27"/>
      <c r="Z66" s="27"/>
      <c r="AA66" s="27"/>
      <c r="AB66" s="27"/>
      <c r="AC66" s="27"/>
      <c r="AD66" s="27"/>
      <c r="AE66" s="27"/>
      <c r="AF66" s="27"/>
      <c r="AG66" s="27"/>
      <c r="AH66" s="27"/>
      <c r="AI66" s="27"/>
      <c r="AJ66" s="27"/>
      <c r="AK66" s="27"/>
      <c r="AL66" s="27"/>
      <c r="AM66" s="27"/>
      <c r="AN66" s="27"/>
      <c r="AO66" s="27"/>
      <c r="AP66" s="27"/>
      <c r="AQ66" s="27"/>
      <c r="AR66" s="27"/>
      <c r="AS66" s="27"/>
      <c r="AT66" s="27"/>
      <c r="AU66" s="27"/>
      <c r="AV66" s="27"/>
      <c r="AW66" s="27"/>
      <c r="AX66" s="27"/>
      <c r="AY66" s="36"/>
      <c r="AZ66" s="36"/>
      <c r="BA66" s="36"/>
      <c r="BB66" s="36"/>
    </row>
    <row r="67" spans="2:54">
      <c r="B67" s="27"/>
      <c r="D67" s="27"/>
      <c r="F67" s="27"/>
      <c r="H67" s="27"/>
      <c r="I67" s="27"/>
      <c r="J67" s="27"/>
      <c r="K67" s="27"/>
      <c r="L67" s="27"/>
      <c r="M67" s="27"/>
      <c r="N67" s="27"/>
      <c r="O67" s="27"/>
      <c r="P67" s="27"/>
      <c r="Q67" s="27"/>
      <c r="R67" s="27"/>
      <c r="S67" s="27"/>
      <c r="T67" s="27"/>
      <c r="U67" s="27"/>
      <c r="V67" s="27"/>
      <c r="W67" s="27"/>
      <c r="X67" s="27"/>
      <c r="Y67" s="27"/>
      <c r="Z67" s="27"/>
      <c r="AA67" s="27"/>
      <c r="AB67" s="27"/>
      <c r="AC67" s="27"/>
      <c r="AD67" s="27"/>
      <c r="AE67" s="27"/>
      <c r="AF67" s="27"/>
      <c r="AG67" s="27"/>
      <c r="AH67" s="27"/>
      <c r="AI67" s="27"/>
      <c r="AJ67" s="27"/>
      <c r="AK67" s="27"/>
      <c r="AL67" s="27"/>
      <c r="AM67" s="27"/>
      <c r="AN67" s="27"/>
      <c r="AO67" s="27"/>
      <c r="AP67" s="27"/>
      <c r="AQ67" s="27"/>
      <c r="AR67" s="27"/>
      <c r="AS67" s="27"/>
      <c r="AT67" s="27"/>
      <c r="AU67" s="27"/>
      <c r="AV67" s="27"/>
      <c r="AW67" s="27"/>
      <c r="AX67" s="27"/>
      <c r="AY67" s="36"/>
      <c r="AZ67" s="36"/>
      <c r="BA67" s="36"/>
      <c r="BB67" s="36"/>
    </row>
    <row r="68" spans="2:54">
      <c r="B68" s="27"/>
      <c r="D68" s="27"/>
      <c r="F68" s="27"/>
      <c r="H68" s="27"/>
      <c r="I68" s="27"/>
      <c r="J68" s="27"/>
      <c r="K68" s="27"/>
      <c r="L68" s="27"/>
      <c r="M68" s="27"/>
      <c r="N68" s="27"/>
      <c r="O68" s="27"/>
      <c r="P68" s="27"/>
      <c r="Q68" s="27"/>
      <c r="R68" s="27"/>
      <c r="S68" s="27"/>
      <c r="T68" s="27"/>
      <c r="U68" s="27"/>
      <c r="V68" s="27"/>
      <c r="W68" s="27"/>
      <c r="X68" s="27"/>
      <c r="Y68" s="27"/>
      <c r="Z68" s="27"/>
      <c r="AA68" s="27"/>
      <c r="AB68" s="27"/>
      <c r="AC68" s="27"/>
      <c r="AD68" s="27"/>
      <c r="AE68" s="27"/>
      <c r="AF68" s="27"/>
      <c r="AG68" s="27"/>
      <c r="AH68" s="27"/>
      <c r="AI68" s="27"/>
      <c r="AJ68" s="27"/>
      <c r="AK68" s="27"/>
      <c r="AL68" s="27"/>
      <c r="AM68" s="27"/>
      <c r="AN68" s="27"/>
      <c r="AO68" s="27"/>
      <c r="AP68" s="27"/>
      <c r="AQ68" s="27"/>
      <c r="AR68" s="27"/>
      <c r="AS68" s="27"/>
      <c r="AT68" s="27"/>
      <c r="AU68" s="27"/>
      <c r="AV68" s="27"/>
      <c r="AW68" s="27"/>
      <c r="AX68" s="27"/>
      <c r="AY68" s="36"/>
      <c r="AZ68" s="36"/>
      <c r="BA68" s="36"/>
      <c r="BB68" s="36"/>
    </row>
    <row r="69" spans="2:54">
      <c r="B69" s="27"/>
      <c r="D69" s="27"/>
      <c r="F69" s="27"/>
      <c r="H69" s="27"/>
      <c r="I69" s="27"/>
      <c r="J69" s="27"/>
      <c r="K69" s="27"/>
      <c r="L69" s="27"/>
      <c r="M69" s="27"/>
      <c r="N69" s="27"/>
      <c r="O69" s="27"/>
      <c r="P69" s="27"/>
      <c r="Q69" s="27"/>
      <c r="R69" s="27"/>
      <c r="S69" s="27"/>
      <c r="T69" s="27"/>
      <c r="U69" s="27"/>
      <c r="V69" s="27"/>
      <c r="W69" s="27"/>
      <c r="X69" s="27"/>
      <c r="Y69" s="27"/>
      <c r="Z69" s="27"/>
      <c r="AA69" s="27"/>
      <c r="AB69" s="27"/>
      <c r="AC69" s="27"/>
      <c r="AD69" s="27"/>
      <c r="AE69" s="27"/>
      <c r="AF69" s="27"/>
      <c r="AG69" s="27"/>
      <c r="AH69" s="27"/>
      <c r="AI69" s="27"/>
      <c r="AJ69" s="27"/>
      <c r="AK69" s="27"/>
      <c r="AL69" s="27"/>
      <c r="AM69" s="27"/>
      <c r="AN69" s="27"/>
      <c r="AO69" s="27"/>
      <c r="AP69" s="27"/>
      <c r="AQ69" s="27"/>
      <c r="AR69" s="27"/>
      <c r="AS69" s="27"/>
      <c r="AT69" s="27"/>
      <c r="AU69" s="27"/>
      <c r="AV69" s="27"/>
      <c r="AW69" s="27"/>
      <c r="AX69" s="27"/>
      <c r="AY69" s="36"/>
      <c r="AZ69" s="36"/>
      <c r="BA69" s="36"/>
      <c r="BB69" s="36"/>
    </row>
    <row r="70" spans="2:54">
      <c r="B70" s="27"/>
      <c r="D70" s="27"/>
      <c r="F70" s="27"/>
      <c r="H70" s="27"/>
      <c r="I70" s="27"/>
      <c r="J70" s="27"/>
      <c r="K70" s="27"/>
      <c r="L70" s="27"/>
      <c r="M70" s="27"/>
      <c r="N70" s="27"/>
      <c r="O70" s="27"/>
      <c r="P70" s="27"/>
      <c r="Q70" s="27"/>
      <c r="R70" s="27"/>
      <c r="S70" s="27"/>
      <c r="T70" s="27"/>
      <c r="U70" s="27"/>
      <c r="V70" s="27"/>
      <c r="W70" s="27"/>
      <c r="X70" s="27"/>
      <c r="Y70" s="27"/>
      <c r="Z70" s="27"/>
      <c r="AA70" s="27"/>
      <c r="AB70" s="27"/>
      <c r="AC70" s="27"/>
      <c r="AD70" s="27"/>
      <c r="AE70" s="27"/>
      <c r="AF70" s="27"/>
      <c r="AG70" s="27"/>
      <c r="AH70" s="27"/>
      <c r="AI70" s="27"/>
      <c r="AJ70" s="27"/>
      <c r="AK70" s="27"/>
      <c r="AL70" s="27"/>
      <c r="AM70" s="27"/>
      <c r="AN70" s="27"/>
      <c r="AO70" s="27"/>
      <c r="AP70" s="27"/>
      <c r="AQ70" s="27"/>
      <c r="AR70" s="27"/>
      <c r="AS70" s="27"/>
      <c r="AT70" s="27"/>
      <c r="AU70" s="27"/>
      <c r="AV70" s="27"/>
      <c r="AW70" s="27"/>
      <c r="AX70" s="27"/>
      <c r="AY70" s="36"/>
      <c r="AZ70" s="36"/>
      <c r="BA70" s="36"/>
      <c r="BB70" s="36"/>
    </row>
    <row r="71" spans="2:54">
      <c r="B71" s="27"/>
      <c r="D71" s="27"/>
      <c r="F71" s="27"/>
      <c r="H71" s="27"/>
      <c r="I71" s="27"/>
      <c r="J71" s="27"/>
      <c r="K71" s="27"/>
      <c r="L71" s="27"/>
      <c r="M71" s="27"/>
      <c r="N71" s="27"/>
      <c r="O71" s="27"/>
      <c r="P71" s="27"/>
      <c r="Q71" s="27"/>
      <c r="R71" s="27"/>
      <c r="S71" s="27"/>
      <c r="T71" s="27"/>
      <c r="U71" s="27"/>
      <c r="V71" s="27"/>
      <c r="W71" s="27"/>
      <c r="X71" s="27"/>
      <c r="Y71" s="27"/>
      <c r="Z71" s="27"/>
      <c r="AA71" s="27"/>
      <c r="AB71" s="27"/>
      <c r="AC71" s="27"/>
      <c r="AD71" s="27"/>
      <c r="AE71" s="27"/>
      <c r="AF71" s="27"/>
      <c r="AG71" s="27"/>
      <c r="AH71" s="27"/>
      <c r="AI71" s="27"/>
      <c r="AJ71" s="27"/>
      <c r="AK71" s="27"/>
      <c r="AL71" s="27"/>
      <c r="AM71" s="27"/>
      <c r="AN71" s="27"/>
      <c r="AO71" s="27"/>
      <c r="AP71" s="27"/>
      <c r="AQ71" s="27"/>
      <c r="AR71" s="27"/>
      <c r="AS71" s="27"/>
      <c r="AT71" s="27"/>
      <c r="AU71" s="27"/>
      <c r="AV71" s="27"/>
      <c r="AW71" s="27"/>
      <c r="AX71" s="27"/>
      <c r="AY71" s="36"/>
      <c r="AZ71" s="36"/>
      <c r="BA71" s="36"/>
      <c r="BB71" s="36"/>
    </row>
    <row r="72" spans="2:54">
      <c r="B72" s="27"/>
      <c r="D72" s="27"/>
      <c r="F72" s="27"/>
      <c r="H72" s="27"/>
      <c r="I72" s="27"/>
      <c r="J72" s="27"/>
      <c r="K72" s="27"/>
      <c r="L72" s="27"/>
      <c r="M72" s="27"/>
      <c r="N72" s="27"/>
      <c r="O72" s="27"/>
      <c r="P72" s="27"/>
      <c r="Q72" s="27"/>
      <c r="R72" s="27"/>
      <c r="S72" s="27"/>
      <c r="T72" s="27"/>
      <c r="U72" s="27"/>
      <c r="V72" s="27"/>
      <c r="W72" s="27"/>
      <c r="X72" s="27"/>
      <c r="Y72" s="27"/>
      <c r="Z72" s="27"/>
      <c r="AA72" s="27"/>
      <c r="AB72" s="27"/>
      <c r="AC72" s="27"/>
      <c r="AD72" s="27"/>
      <c r="AE72" s="27"/>
      <c r="AF72" s="27"/>
      <c r="AG72" s="27"/>
      <c r="AH72" s="27"/>
      <c r="AI72" s="27"/>
      <c r="AJ72" s="27"/>
      <c r="AK72" s="27"/>
      <c r="AL72" s="27"/>
      <c r="AM72" s="27"/>
      <c r="AN72" s="27"/>
      <c r="AO72" s="27"/>
      <c r="AP72" s="27"/>
      <c r="AQ72" s="27"/>
      <c r="AR72" s="27"/>
      <c r="AS72" s="27"/>
      <c r="AT72" s="27"/>
      <c r="AU72" s="27"/>
      <c r="AV72" s="27"/>
      <c r="AW72" s="27"/>
      <c r="AX72" s="27"/>
      <c r="AY72" s="36"/>
      <c r="AZ72" s="36"/>
      <c r="BA72" s="36"/>
      <c r="BB72" s="36"/>
    </row>
    <row r="73" spans="2:54">
      <c r="B73" s="27"/>
      <c r="D73" s="27"/>
      <c r="F73" s="27"/>
      <c r="H73" s="27"/>
      <c r="I73" s="27"/>
      <c r="J73" s="27"/>
      <c r="K73" s="27"/>
      <c r="L73" s="27"/>
      <c r="M73" s="27"/>
      <c r="N73" s="27"/>
      <c r="O73" s="27"/>
      <c r="P73" s="27"/>
      <c r="Q73" s="27"/>
      <c r="R73" s="27"/>
      <c r="S73" s="27"/>
      <c r="T73" s="27"/>
      <c r="U73" s="27"/>
      <c r="V73" s="27"/>
      <c r="W73" s="27"/>
      <c r="X73" s="27"/>
      <c r="Y73" s="27"/>
      <c r="Z73" s="27"/>
      <c r="AA73" s="27"/>
      <c r="AB73" s="27"/>
      <c r="AC73" s="27"/>
      <c r="AD73" s="27"/>
      <c r="AE73" s="27"/>
      <c r="AF73" s="27"/>
      <c r="AG73" s="27"/>
      <c r="AH73" s="27"/>
      <c r="AI73" s="27"/>
      <c r="AJ73" s="27"/>
      <c r="AK73" s="27"/>
      <c r="AL73" s="27"/>
      <c r="AM73" s="27"/>
      <c r="AN73" s="27"/>
      <c r="AO73" s="27"/>
      <c r="AP73" s="27"/>
      <c r="AQ73" s="27"/>
      <c r="AR73" s="27"/>
      <c r="AS73" s="27"/>
      <c r="AT73" s="27"/>
      <c r="AU73" s="27"/>
      <c r="AV73" s="27"/>
      <c r="AW73" s="27"/>
      <c r="AX73" s="27"/>
      <c r="AY73" s="36"/>
      <c r="AZ73" s="36"/>
      <c r="BA73" s="36"/>
      <c r="BB73" s="36"/>
    </row>
    <row r="74" spans="2:54">
      <c r="B74" s="27"/>
      <c r="D74" s="27"/>
      <c r="F74" s="27"/>
      <c r="H74" s="27"/>
      <c r="I74" s="27"/>
      <c r="J74" s="27"/>
      <c r="K74" s="27"/>
      <c r="L74" s="27"/>
      <c r="M74" s="27"/>
      <c r="N74" s="27"/>
      <c r="O74" s="27"/>
      <c r="P74" s="27"/>
      <c r="Q74" s="27"/>
      <c r="R74" s="27"/>
      <c r="S74" s="27"/>
      <c r="T74" s="27"/>
      <c r="U74" s="27"/>
      <c r="V74" s="27"/>
      <c r="W74" s="27"/>
      <c r="X74" s="27"/>
      <c r="Y74" s="27"/>
      <c r="Z74" s="27"/>
      <c r="AA74" s="27"/>
      <c r="AB74" s="27"/>
      <c r="AC74" s="27"/>
      <c r="AD74" s="27"/>
      <c r="AE74" s="27"/>
      <c r="AF74" s="27"/>
      <c r="AG74" s="27"/>
      <c r="AH74" s="27"/>
      <c r="AI74" s="27"/>
      <c r="AJ74" s="27"/>
      <c r="AK74" s="27"/>
      <c r="AL74" s="27"/>
      <c r="AM74" s="27"/>
      <c r="AN74" s="27"/>
      <c r="AO74" s="27"/>
      <c r="AP74" s="27"/>
      <c r="AQ74" s="27"/>
      <c r="AR74" s="27"/>
      <c r="AS74" s="27"/>
      <c r="AT74" s="27"/>
      <c r="AU74" s="27"/>
      <c r="AV74" s="27"/>
      <c r="AW74" s="27"/>
      <c r="AX74" s="27"/>
      <c r="AY74" s="36"/>
      <c r="AZ74" s="36"/>
      <c r="BA74" s="36"/>
      <c r="BB74" s="36"/>
    </row>
    <row r="75" spans="2:54">
      <c r="B75" s="27"/>
      <c r="D75" s="27"/>
      <c r="F75" s="27"/>
      <c r="H75" s="27"/>
      <c r="I75" s="27"/>
      <c r="J75" s="27"/>
      <c r="K75" s="27"/>
      <c r="L75" s="27"/>
      <c r="M75" s="27"/>
      <c r="N75" s="27"/>
      <c r="O75" s="27"/>
      <c r="P75" s="27"/>
      <c r="Q75" s="27"/>
      <c r="R75" s="27"/>
      <c r="S75" s="27"/>
      <c r="T75" s="27"/>
      <c r="U75" s="27"/>
      <c r="V75" s="27"/>
      <c r="W75" s="27"/>
      <c r="X75" s="27"/>
      <c r="Y75" s="27"/>
      <c r="Z75" s="27"/>
      <c r="AA75" s="27"/>
      <c r="AB75" s="27"/>
      <c r="AC75" s="27"/>
      <c r="AD75" s="27"/>
      <c r="AE75" s="27"/>
      <c r="AF75" s="27"/>
      <c r="AG75" s="27"/>
      <c r="AH75" s="27"/>
      <c r="AI75" s="27"/>
      <c r="AJ75" s="27"/>
      <c r="AK75" s="27"/>
      <c r="AL75" s="27"/>
      <c r="AM75" s="27"/>
      <c r="AN75" s="27"/>
      <c r="AO75" s="27"/>
      <c r="AP75" s="27"/>
      <c r="AQ75" s="27"/>
      <c r="AR75" s="27"/>
      <c r="AS75" s="27"/>
      <c r="AT75" s="27"/>
      <c r="AU75" s="27"/>
      <c r="AV75" s="27"/>
      <c r="AW75" s="27"/>
      <c r="AX75" s="27"/>
      <c r="AY75" s="36"/>
      <c r="AZ75" s="36"/>
      <c r="BA75" s="36"/>
      <c r="BB75" s="36"/>
    </row>
    <row r="76" spans="2:54">
      <c r="B76" s="27"/>
      <c r="D76" s="27"/>
      <c r="F76" s="27"/>
      <c r="H76" s="27"/>
      <c r="I76" s="27"/>
      <c r="J76" s="27"/>
      <c r="K76" s="27"/>
      <c r="L76" s="27"/>
      <c r="M76" s="27"/>
      <c r="N76" s="27"/>
      <c r="O76" s="27"/>
      <c r="P76" s="27"/>
      <c r="Q76" s="27"/>
      <c r="R76" s="27"/>
      <c r="S76" s="27"/>
      <c r="T76" s="27"/>
      <c r="U76" s="27"/>
      <c r="V76" s="27"/>
      <c r="W76" s="27"/>
      <c r="X76" s="27"/>
      <c r="Y76" s="27"/>
      <c r="Z76" s="27"/>
      <c r="AA76" s="27"/>
      <c r="AB76" s="27"/>
      <c r="AC76" s="27"/>
      <c r="AD76" s="27"/>
      <c r="AE76" s="27"/>
      <c r="AF76" s="27"/>
      <c r="AG76" s="27"/>
      <c r="AH76" s="27"/>
      <c r="AI76" s="27"/>
      <c r="AJ76" s="27"/>
      <c r="AK76" s="27"/>
      <c r="AL76" s="27"/>
      <c r="AM76" s="27"/>
      <c r="AN76" s="27"/>
      <c r="AO76" s="27"/>
      <c r="AP76" s="27"/>
      <c r="AQ76" s="27"/>
      <c r="AR76" s="27"/>
      <c r="AS76" s="27"/>
      <c r="AT76" s="27"/>
      <c r="AU76" s="27"/>
      <c r="AV76" s="27"/>
      <c r="AW76" s="27"/>
      <c r="AX76" s="27"/>
      <c r="AY76" s="36"/>
      <c r="AZ76" s="36"/>
      <c r="BA76" s="36"/>
      <c r="BB76" s="36"/>
    </row>
    <row r="77" spans="2:54">
      <c r="B77" s="27"/>
      <c r="D77" s="27"/>
      <c r="F77" s="27"/>
      <c r="H77" s="27"/>
      <c r="I77" s="27"/>
      <c r="J77" s="27"/>
      <c r="K77" s="27"/>
      <c r="L77" s="27"/>
      <c r="M77" s="27"/>
      <c r="N77" s="27"/>
      <c r="O77" s="27"/>
      <c r="P77" s="27"/>
      <c r="Q77" s="27"/>
      <c r="R77" s="27"/>
      <c r="S77" s="27"/>
      <c r="T77" s="27"/>
      <c r="U77" s="27"/>
      <c r="V77" s="27"/>
      <c r="W77" s="27"/>
      <c r="X77" s="27"/>
      <c r="Y77" s="27"/>
      <c r="Z77" s="27"/>
      <c r="AA77" s="27"/>
      <c r="AB77" s="27"/>
      <c r="AC77" s="27"/>
      <c r="AD77" s="27"/>
      <c r="AE77" s="27"/>
      <c r="AF77" s="27"/>
      <c r="AG77" s="27"/>
      <c r="AH77" s="27"/>
      <c r="AI77" s="27"/>
      <c r="AJ77" s="27"/>
      <c r="AK77" s="27"/>
      <c r="AL77" s="27"/>
      <c r="AM77" s="27"/>
      <c r="AN77" s="27"/>
      <c r="AO77" s="27"/>
      <c r="AP77" s="27"/>
      <c r="AQ77" s="27"/>
      <c r="AR77" s="27"/>
      <c r="AS77" s="27"/>
      <c r="AT77" s="27"/>
      <c r="AU77" s="27"/>
      <c r="AV77" s="27"/>
      <c r="AW77" s="27"/>
      <c r="AX77" s="27"/>
      <c r="AY77" s="36"/>
      <c r="AZ77" s="36"/>
      <c r="BA77" s="36"/>
      <c r="BB77" s="36"/>
    </row>
    <row r="78" spans="2:54">
      <c r="B78" s="27"/>
      <c r="D78" s="27"/>
      <c r="F78" s="27"/>
      <c r="H78" s="27"/>
      <c r="I78" s="27"/>
      <c r="J78" s="27"/>
      <c r="K78" s="27"/>
      <c r="L78" s="27"/>
      <c r="M78" s="27"/>
      <c r="N78" s="27"/>
      <c r="O78" s="27"/>
      <c r="P78" s="27"/>
      <c r="Q78" s="27"/>
      <c r="R78" s="27"/>
      <c r="S78" s="27"/>
      <c r="T78" s="27"/>
      <c r="U78" s="27"/>
      <c r="V78" s="27"/>
      <c r="W78" s="27"/>
      <c r="X78" s="27"/>
      <c r="Y78" s="27"/>
      <c r="Z78" s="27"/>
      <c r="AA78" s="27"/>
      <c r="AB78" s="27"/>
      <c r="AC78" s="27"/>
      <c r="AD78" s="27"/>
      <c r="AE78" s="27"/>
      <c r="AF78" s="27"/>
      <c r="AG78" s="27"/>
      <c r="AH78" s="27"/>
      <c r="AI78" s="27"/>
      <c r="AJ78" s="27"/>
      <c r="AK78" s="27"/>
      <c r="AL78" s="27"/>
      <c r="AM78" s="27"/>
      <c r="AN78" s="27"/>
      <c r="AO78" s="27"/>
      <c r="AP78" s="27"/>
      <c r="AQ78" s="27"/>
      <c r="AR78" s="27"/>
      <c r="AS78" s="27"/>
      <c r="AT78" s="27"/>
      <c r="AU78" s="27"/>
      <c r="AV78" s="27"/>
      <c r="AW78" s="27"/>
      <c r="AX78" s="27"/>
      <c r="AY78" s="36"/>
      <c r="AZ78" s="36"/>
      <c r="BA78" s="36"/>
      <c r="BB78" s="36"/>
    </row>
    <row r="79" spans="2:54">
      <c r="B79" s="27"/>
      <c r="D79" s="27"/>
      <c r="F79" s="27"/>
      <c r="H79" s="27"/>
      <c r="I79" s="27"/>
      <c r="J79" s="27"/>
      <c r="K79" s="27"/>
      <c r="L79" s="27"/>
      <c r="M79" s="27"/>
      <c r="N79" s="27"/>
      <c r="O79" s="27"/>
      <c r="P79" s="27"/>
      <c r="Q79" s="27"/>
      <c r="R79" s="27"/>
      <c r="S79" s="27"/>
      <c r="T79" s="27"/>
      <c r="U79" s="27"/>
      <c r="V79" s="27"/>
      <c r="W79" s="27"/>
      <c r="X79" s="27"/>
      <c r="Y79" s="27"/>
      <c r="Z79" s="27"/>
      <c r="AA79" s="27"/>
      <c r="AB79" s="27"/>
      <c r="AC79" s="27"/>
      <c r="AD79" s="27"/>
      <c r="AE79" s="27"/>
      <c r="AF79" s="27"/>
      <c r="AG79" s="27"/>
      <c r="AH79" s="27"/>
      <c r="AI79" s="27"/>
      <c r="AJ79" s="27"/>
      <c r="AK79" s="27"/>
      <c r="AL79" s="27"/>
      <c r="AM79" s="27"/>
      <c r="AN79" s="27"/>
      <c r="AO79" s="27"/>
      <c r="AP79" s="27"/>
      <c r="AQ79" s="27"/>
      <c r="AR79" s="27"/>
      <c r="AS79" s="27"/>
      <c r="AT79" s="27"/>
      <c r="AU79" s="27"/>
      <c r="AV79" s="27"/>
      <c r="AW79" s="27"/>
      <c r="AX79" s="27"/>
      <c r="AY79" s="36"/>
      <c r="AZ79" s="36"/>
      <c r="BA79" s="36"/>
      <c r="BB79" s="36"/>
    </row>
    <row r="80" spans="2:54">
      <c r="B80" s="27"/>
      <c r="D80" s="27"/>
      <c r="F80" s="27"/>
      <c r="H80" s="27"/>
      <c r="I80" s="27"/>
      <c r="J80" s="27"/>
      <c r="K80" s="27"/>
      <c r="L80" s="27"/>
      <c r="M80" s="27"/>
      <c r="N80" s="27"/>
      <c r="O80" s="27"/>
      <c r="P80" s="27"/>
      <c r="Q80" s="27"/>
      <c r="R80" s="27"/>
      <c r="S80" s="27"/>
      <c r="T80" s="27"/>
      <c r="U80" s="27"/>
      <c r="V80" s="27"/>
      <c r="W80" s="27"/>
      <c r="X80" s="27"/>
      <c r="Y80" s="27"/>
      <c r="Z80" s="27"/>
      <c r="AA80" s="27"/>
      <c r="AB80" s="27"/>
      <c r="AC80" s="27"/>
      <c r="AD80" s="27"/>
      <c r="AE80" s="27"/>
      <c r="AF80" s="27"/>
      <c r="AG80" s="27"/>
      <c r="AH80" s="27"/>
      <c r="AI80" s="27"/>
      <c r="AJ80" s="27"/>
      <c r="AK80" s="27"/>
      <c r="AL80" s="27"/>
      <c r="AM80" s="27"/>
      <c r="AN80" s="27"/>
      <c r="AO80" s="27"/>
      <c r="AP80" s="27"/>
      <c r="AQ80" s="27"/>
      <c r="AR80" s="27"/>
      <c r="AS80" s="27"/>
      <c r="AT80" s="27"/>
      <c r="AU80" s="27"/>
      <c r="AV80" s="27"/>
      <c r="AW80" s="27"/>
      <c r="AX80" s="27"/>
      <c r="AY80" s="36"/>
      <c r="AZ80" s="36"/>
      <c r="BA80" s="36"/>
      <c r="BB80" s="36"/>
    </row>
    <row r="81" spans="2:54">
      <c r="B81" s="27"/>
      <c r="D81" s="27"/>
      <c r="F81" s="27"/>
      <c r="H81" s="27"/>
      <c r="I81" s="27"/>
      <c r="J81" s="27"/>
      <c r="K81" s="27"/>
      <c r="L81" s="27"/>
      <c r="M81" s="27"/>
      <c r="N81" s="27"/>
      <c r="O81" s="27"/>
      <c r="P81" s="27"/>
      <c r="Q81" s="27"/>
      <c r="R81" s="27"/>
      <c r="S81" s="27"/>
      <c r="T81" s="27"/>
      <c r="U81" s="27"/>
      <c r="V81" s="27"/>
      <c r="W81" s="27"/>
      <c r="X81" s="27"/>
      <c r="Y81" s="27"/>
      <c r="Z81" s="27"/>
      <c r="AA81" s="27"/>
      <c r="AB81" s="27"/>
      <c r="AC81" s="27"/>
      <c r="AD81" s="27"/>
      <c r="AE81" s="27"/>
      <c r="AF81" s="27"/>
      <c r="AG81" s="27"/>
      <c r="AH81" s="27"/>
      <c r="AI81" s="27"/>
      <c r="AJ81" s="27"/>
      <c r="AK81" s="27"/>
      <c r="AL81" s="27"/>
      <c r="AM81" s="27"/>
      <c r="AN81" s="27"/>
      <c r="AO81" s="27"/>
      <c r="AP81" s="27"/>
      <c r="AQ81" s="27"/>
      <c r="AR81" s="27"/>
      <c r="AS81" s="27"/>
      <c r="AT81" s="27"/>
      <c r="AU81" s="27"/>
      <c r="AV81" s="27"/>
      <c r="AW81" s="27"/>
      <c r="AX81" s="27"/>
      <c r="AY81" s="36"/>
      <c r="AZ81" s="36"/>
      <c r="BA81" s="36"/>
      <c r="BB81" s="36"/>
    </row>
    <row r="82" spans="2:54">
      <c r="B82" s="27"/>
      <c r="D82" s="27"/>
      <c r="F82" s="27"/>
      <c r="H82" s="27"/>
      <c r="I82" s="27"/>
      <c r="J82" s="27"/>
      <c r="K82" s="27"/>
      <c r="L82" s="27"/>
      <c r="M82" s="27"/>
      <c r="N82" s="27"/>
      <c r="O82" s="27"/>
      <c r="P82" s="27"/>
      <c r="Q82" s="27"/>
      <c r="R82" s="27"/>
      <c r="S82" s="27"/>
      <c r="T82" s="27"/>
      <c r="U82" s="27"/>
      <c r="V82" s="27"/>
      <c r="W82" s="27"/>
      <c r="X82" s="27"/>
      <c r="Y82" s="27"/>
      <c r="Z82" s="27"/>
      <c r="AA82" s="27"/>
      <c r="AB82" s="27"/>
      <c r="AC82" s="27"/>
      <c r="AD82" s="27"/>
      <c r="AE82" s="27"/>
      <c r="AF82" s="27"/>
      <c r="AG82" s="27"/>
      <c r="AH82" s="27"/>
      <c r="AI82" s="27"/>
      <c r="AJ82" s="27"/>
      <c r="AK82" s="27"/>
      <c r="AL82" s="27"/>
      <c r="AM82" s="27"/>
      <c r="AN82" s="27"/>
      <c r="AO82" s="27"/>
      <c r="AP82" s="27"/>
      <c r="AQ82" s="27"/>
      <c r="AR82" s="27"/>
      <c r="AS82" s="27"/>
      <c r="AT82" s="27"/>
      <c r="AU82" s="27"/>
      <c r="AV82" s="27"/>
      <c r="AW82" s="27"/>
      <c r="AX82" s="27"/>
      <c r="AY82" s="36"/>
      <c r="AZ82" s="36"/>
      <c r="BA82" s="36"/>
      <c r="BB82" s="36"/>
    </row>
    <row r="83" spans="2:54">
      <c r="B83" s="27"/>
      <c r="D83" s="27"/>
      <c r="F83" s="27"/>
      <c r="H83" s="27"/>
      <c r="I83" s="27"/>
      <c r="J83" s="27"/>
      <c r="K83" s="27"/>
      <c r="L83" s="27"/>
      <c r="M83" s="27"/>
      <c r="N83" s="27"/>
      <c r="O83" s="27"/>
      <c r="P83" s="27"/>
      <c r="Q83" s="27"/>
      <c r="R83" s="27"/>
      <c r="S83" s="27"/>
      <c r="T83" s="27"/>
      <c r="U83" s="27"/>
      <c r="V83" s="27"/>
      <c r="W83" s="27"/>
      <c r="X83" s="27"/>
      <c r="Y83" s="27"/>
      <c r="Z83" s="27"/>
      <c r="AA83" s="27"/>
      <c r="AB83" s="27"/>
      <c r="AC83" s="27"/>
      <c r="AD83" s="27"/>
      <c r="AE83" s="27"/>
      <c r="AF83" s="27"/>
      <c r="AG83" s="27"/>
      <c r="AH83" s="27"/>
      <c r="AI83" s="27"/>
      <c r="AJ83" s="27"/>
      <c r="AK83" s="27"/>
      <c r="AL83" s="27"/>
      <c r="AM83" s="27"/>
      <c r="AN83" s="27"/>
      <c r="AO83" s="27"/>
      <c r="AP83" s="27"/>
      <c r="AQ83" s="27"/>
      <c r="AR83" s="27"/>
      <c r="AS83" s="27"/>
      <c r="AT83" s="27"/>
      <c r="AU83" s="27"/>
      <c r="AV83" s="27"/>
      <c r="AW83" s="27"/>
      <c r="AX83" s="27"/>
      <c r="AY83" s="36"/>
      <c r="AZ83" s="36"/>
      <c r="BA83" s="36"/>
      <c r="BB83" s="36"/>
    </row>
    <row r="84" spans="2:54">
      <c r="B84" s="27"/>
      <c r="D84" s="27"/>
      <c r="F84" s="27"/>
      <c r="H84" s="27"/>
      <c r="I84" s="27"/>
      <c r="J84" s="27"/>
      <c r="K84" s="27"/>
      <c r="L84" s="27"/>
      <c r="M84" s="27"/>
      <c r="N84" s="27"/>
      <c r="O84" s="27"/>
      <c r="P84" s="27"/>
      <c r="Q84" s="27"/>
      <c r="R84" s="27"/>
      <c r="S84" s="27"/>
      <c r="T84" s="27"/>
      <c r="U84" s="27"/>
      <c r="V84" s="27"/>
      <c r="W84" s="27"/>
      <c r="X84" s="27"/>
      <c r="Y84" s="27"/>
      <c r="Z84" s="27"/>
      <c r="AA84" s="27"/>
      <c r="AB84" s="27"/>
      <c r="AC84" s="27"/>
      <c r="AD84" s="27"/>
      <c r="AE84" s="27"/>
      <c r="AF84" s="27"/>
      <c r="AG84" s="27"/>
      <c r="AH84" s="27"/>
      <c r="AI84" s="27"/>
      <c r="AJ84" s="27"/>
      <c r="AK84" s="27"/>
      <c r="AL84" s="27"/>
      <c r="AM84" s="27"/>
      <c r="AN84" s="27"/>
      <c r="AO84" s="27"/>
      <c r="AP84" s="27"/>
      <c r="AQ84" s="27"/>
      <c r="AR84" s="27"/>
      <c r="AS84" s="27"/>
      <c r="AT84" s="27"/>
      <c r="AU84" s="27"/>
      <c r="AV84" s="27"/>
      <c r="AW84" s="27"/>
      <c r="AX84" s="27"/>
      <c r="AY84" s="36"/>
      <c r="AZ84" s="36"/>
      <c r="BA84" s="36"/>
      <c r="BB84" s="36"/>
    </row>
    <row r="85" spans="2:54">
      <c r="B85" s="27"/>
      <c r="D85" s="27"/>
      <c r="F85" s="27"/>
      <c r="H85" s="27"/>
      <c r="I85" s="27"/>
      <c r="J85" s="27"/>
      <c r="K85" s="27"/>
      <c r="L85" s="27"/>
      <c r="M85" s="27"/>
      <c r="N85" s="27"/>
      <c r="O85" s="27"/>
      <c r="P85" s="27"/>
      <c r="Q85" s="27"/>
      <c r="R85" s="27"/>
      <c r="S85" s="27"/>
      <c r="T85" s="27"/>
      <c r="U85" s="27"/>
      <c r="V85" s="27"/>
      <c r="W85" s="27"/>
      <c r="X85" s="27"/>
      <c r="Y85" s="27"/>
      <c r="Z85" s="27"/>
      <c r="AA85" s="27"/>
      <c r="AB85" s="27"/>
      <c r="AC85" s="27"/>
      <c r="AD85" s="27"/>
      <c r="AE85" s="27"/>
      <c r="AF85" s="27"/>
      <c r="AG85" s="27"/>
      <c r="AH85" s="27"/>
      <c r="AI85" s="27"/>
      <c r="AJ85" s="27"/>
      <c r="AK85" s="27"/>
      <c r="AL85" s="27"/>
      <c r="AM85" s="27"/>
      <c r="AN85" s="27"/>
      <c r="AO85" s="27"/>
      <c r="AP85" s="27"/>
      <c r="AQ85" s="27"/>
      <c r="AR85" s="27"/>
      <c r="AS85" s="27"/>
      <c r="AT85" s="27"/>
      <c r="AU85" s="27"/>
      <c r="AV85" s="27"/>
      <c r="AW85" s="27"/>
      <c r="AX85" s="27"/>
      <c r="AY85" s="36"/>
      <c r="AZ85" s="36"/>
      <c r="BA85" s="36"/>
      <c r="BB85" s="36"/>
    </row>
    <row r="86" spans="2:54">
      <c r="B86" s="27"/>
      <c r="D86" s="27"/>
      <c r="F86" s="27"/>
      <c r="H86" s="27"/>
      <c r="I86" s="27"/>
      <c r="J86" s="27"/>
      <c r="K86" s="27"/>
      <c r="L86" s="27"/>
      <c r="M86" s="27"/>
      <c r="N86" s="27"/>
      <c r="O86" s="27"/>
      <c r="P86" s="27"/>
      <c r="Q86" s="27"/>
      <c r="R86" s="27"/>
      <c r="S86" s="27"/>
      <c r="T86" s="27"/>
      <c r="U86" s="27"/>
      <c r="V86" s="27"/>
      <c r="W86" s="27"/>
      <c r="X86" s="27"/>
      <c r="Y86" s="27"/>
      <c r="Z86" s="27"/>
      <c r="AA86" s="27"/>
      <c r="AB86" s="27"/>
      <c r="AC86" s="27"/>
      <c r="AD86" s="27"/>
      <c r="AE86" s="27"/>
      <c r="AF86" s="27"/>
      <c r="AG86" s="27"/>
      <c r="AH86" s="27"/>
      <c r="AI86" s="27"/>
      <c r="AJ86" s="27"/>
      <c r="AK86" s="27"/>
      <c r="AL86" s="27"/>
      <c r="AM86" s="27"/>
      <c r="AN86" s="27"/>
      <c r="AO86" s="27"/>
      <c r="AP86" s="27"/>
      <c r="AQ86" s="27"/>
      <c r="AR86" s="27"/>
      <c r="AS86" s="27"/>
      <c r="AT86" s="27"/>
      <c r="AU86" s="27"/>
      <c r="AV86" s="27"/>
      <c r="AW86" s="27"/>
      <c r="AX86" s="27"/>
      <c r="AY86" s="36"/>
      <c r="AZ86" s="36"/>
      <c r="BA86" s="36"/>
      <c r="BB86" s="36"/>
    </row>
    <row r="87" spans="2:54">
      <c r="B87" s="27"/>
      <c r="D87" s="27"/>
      <c r="F87" s="27"/>
      <c r="H87" s="27"/>
      <c r="I87" s="27"/>
      <c r="J87" s="27"/>
      <c r="K87" s="27"/>
      <c r="L87" s="27"/>
      <c r="M87" s="27"/>
      <c r="N87" s="27"/>
      <c r="O87" s="27"/>
      <c r="P87" s="27"/>
      <c r="Q87" s="27"/>
      <c r="R87" s="27"/>
      <c r="S87" s="27"/>
      <c r="T87" s="27"/>
      <c r="U87" s="27"/>
      <c r="V87" s="27"/>
      <c r="W87" s="27"/>
      <c r="X87" s="27"/>
      <c r="Y87" s="27"/>
      <c r="Z87" s="27"/>
      <c r="AA87" s="27"/>
      <c r="AB87" s="27"/>
      <c r="AC87" s="27"/>
      <c r="AD87" s="27"/>
      <c r="AE87" s="27"/>
      <c r="AF87" s="27"/>
      <c r="AG87" s="27"/>
      <c r="AH87" s="27"/>
      <c r="AI87" s="27"/>
      <c r="AJ87" s="27"/>
      <c r="AK87" s="27"/>
      <c r="AL87" s="27"/>
      <c r="AM87" s="27"/>
      <c r="AN87" s="27"/>
      <c r="AO87" s="27"/>
      <c r="AP87" s="27"/>
      <c r="AQ87" s="27"/>
      <c r="AR87" s="27"/>
      <c r="AS87" s="27"/>
      <c r="AT87" s="27"/>
      <c r="AU87" s="27"/>
      <c r="AV87" s="27"/>
      <c r="AW87" s="27"/>
      <c r="AX87" s="27"/>
      <c r="AY87" s="36"/>
      <c r="AZ87" s="36"/>
      <c r="BA87" s="36"/>
      <c r="BB87" s="36"/>
    </row>
    <row r="88" spans="2:54">
      <c r="B88" s="27"/>
      <c r="D88" s="27"/>
      <c r="F88" s="27"/>
      <c r="H88" s="27"/>
      <c r="I88" s="27"/>
      <c r="J88" s="27"/>
      <c r="K88" s="27"/>
      <c r="L88" s="27"/>
      <c r="M88" s="27"/>
      <c r="N88" s="27"/>
      <c r="O88" s="27"/>
      <c r="P88" s="27"/>
      <c r="Q88" s="27"/>
      <c r="R88" s="27"/>
      <c r="S88" s="27"/>
      <c r="T88" s="27"/>
      <c r="U88" s="27"/>
      <c r="V88" s="27"/>
      <c r="W88" s="27"/>
      <c r="X88" s="27"/>
      <c r="Y88" s="27"/>
      <c r="Z88" s="27"/>
      <c r="AA88" s="27"/>
      <c r="AB88" s="27"/>
      <c r="AC88" s="27"/>
      <c r="AD88" s="27"/>
      <c r="AE88" s="27"/>
      <c r="AF88" s="27"/>
      <c r="AG88" s="27"/>
      <c r="AH88" s="27"/>
      <c r="AI88" s="27"/>
      <c r="AJ88" s="27"/>
      <c r="AK88" s="27"/>
      <c r="AL88" s="27"/>
      <c r="AM88" s="27"/>
      <c r="AN88" s="27"/>
      <c r="AO88" s="27"/>
      <c r="AP88" s="27"/>
      <c r="AQ88" s="27"/>
      <c r="AR88" s="27"/>
      <c r="AS88" s="27"/>
      <c r="AT88" s="27"/>
      <c r="AU88" s="27"/>
      <c r="AV88" s="27"/>
      <c r="AW88" s="27"/>
      <c r="AX88" s="27"/>
      <c r="AY88" s="36"/>
      <c r="AZ88" s="36"/>
      <c r="BA88" s="36"/>
      <c r="BB88" s="36"/>
    </row>
    <row r="89" spans="2:54">
      <c r="B89" s="27"/>
      <c r="D89" s="27"/>
      <c r="F89" s="27"/>
      <c r="H89" s="27"/>
      <c r="I89" s="27"/>
      <c r="J89" s="27"/>
      <c r="K89" s="27"/>
      <c r="L89" s="27"/>
      <c r="M89" s="27"/>
      <c r="N89" s="27"/>
      <c r="O89" s="27"/>
      <c r="P89" s="27"/>
      <c r="Q89" s="27"/>
      <c r="R89" s="27"/>
      <c r="S89" s="27"/>
      <c r="T89" s="27"/>
      <c r="U89" s="27"/>
      <c r="V89" s="27"/>
      <c r="W89" s="27"/>
      <c r="X89" s="27"/>
      <c r="Y89" s="27"/>
      <c r="Z89" s="27"/>
      <c r="AA89" s="27"/>
      <c r="AB89" s="27"/>
      <c r="AC89" s="27"/>
      <c r="AD89" s="27"/>
      <c r="AE89" s="27"/>
      <c r="AF89" s="27"/>
      <c r="AG89" s="27"/>
      <c r="AH89" s="27"/>
      <c r="AI89" s="27"/>
      <c r="AJ89" s="27"/>
      <c r="AK89" s="27"/>
      <c r="AL89" s="27"/>
      <c r="AM89" s="27"/>
      <c r="AN89" s="27"/>
      <c r="AO89" s="27"/>
      <c r="AP89" s="27"/>
      <c r="AQ89" s="27"/>
      <c r="AR89" s="27"/>
      <c r="AS89" s="27"/>
      <c r="AT89" s="27"/>
      <c r="AU89" s="27"/>
      <c r="AV89" s="27"/>
      <c r="AW89" s="27"/>
      <c r="AX89" s="27"/>
      <c r="AY89" s="36"/>
      <c r="AZ89" s="36"/>
      <c r="BA89" s="36"/>
      <c r="BB89" s="36"/>
    </row>
    <row r="90" spans="2:54">
      <c r="B90" s="27"/>
      <c r="D90" s="27"/>
      <c r="F90" s="27"/>
      <c r="H90" s="27"/>
      <c r="I90" s="27"/>
      <c r="J90" s="27"/>
      <c r="K90" s="27"/>
      <c r="L90" s="27"/>
      <c r="M90" s="27"/>
      <c r="N90" s="27"/>
      <c r="O90" s="27"/>
      <c r="P90" s="27"/>
      <c r="Q90" s="27"/>
      <c r="R90" s="27"/>
      <c r="S90" s="27"/>
      <c r="T90" s="27"/>
      <c r="U90" s="27"/>
      <c r="V90" s="27"/>
      <c r="W90" s="27"/>
      <c r="X90" s="27"/>
      <c r="Y90" s="27"/>
      <c r="Z90" s="27"/>
      <c r="AA90" s="27"/>
      <c r="AB90" s="27"/>
      <c r="AC90" s="27"/>
      <c r="AD90" s="27"/>
      <c r="AE90" s="27"/>
      <c r="AF90" s="27"/>
      <c r="AG90" s="27"/>
      <c r="AH90" s="27"/>
      <c r="AI90" s="27"/>
      <c r="AJ90" s="27"/>
      <c r="AK90" s="27"/>
      <c r="AL90" s="27"/>
      <c r="AM90" s="27"/>
      <c r="AN90" s="27"/>
      <c r="AO90" s="27"/>
      <c r="AP90" s="27"/>
      <c r="AQ90" s="27"/>
      <c r="AR90" s="27"/>
      <c r="AS90" s="27"/>
      <c r="AT90" s="27"/>
      <c r="AU90" s="27"/>
      <c r="AV90" s="27"/>
      <c r="AW90" s="27"/>
      <c r="AX90" s="27"/>
      <c r="AY90" s="36"/>
      <c r="AZ90" s="36"/>
      <c r="BA90" s="36"/>
      <c r="BB90" s="36"/>
    </row>
    <row r="91" spans="2:54">
      <c r="B91" s="27"/>
      <c r="D91" s="27"/>
      <c r="F91" s="27"/>
      <c r="H91" s="27"/>
      <c r="I91" s="27"/>
      <c r="J91" s="27"/>
      <c r="K91" s="27"/>
      <c r="L91" s="27"/>
      <c r="M91" s="27"/>
      <c r="N91" s="27"/>
      <c r="O91" s="27"/>
      <c r="P91" s="27"/>
      <c r="Q91" s="27"/>
      <c r="R91" s="27"/>
      <c r="S91" s="27"/>
      <c r="T91" s="27"/>
      <c r="U91" s="27"/>
      <c r="V91" s="27"/>
      <c r="W91" s="27"/>
      <c r="X91" s="27"/>
      <c r="Y91" s="27"/>
      <c r="Z91" s="27"/>
      <c r="AA91" s="27"/>
      <c r="AB91" s="27"/>
      <c r="AC91" s="27"/>
      <c r="AD91" s="27"/>
      <c r="AE91" s="27"/>
      <c r="AF91" s="27"/>
      <c r="AG91" s="27"/>
      <c r="AH91" s="27"/>
      <c r="AI91" s="27"/>
      <c r="AJ91" s="27"/>
      <c r="AK91" s="27"/>
      <c r="AL91" s="27"/>
      <c r="AM91" s="27"/>
      <c r="AN91" s="27"/>
      <c r="AO91" s="27"/>
      <c r="AP91" s="27"/>
      <c r="AQ91" s="27"/>
      <c r="AR91" s="27"/>
      <c r="AS91" s="27"/>
      <c r="AT91" s="27"/>
      <c r="AU91" s="27"/>
      <c r="AV91" s="27"/>
      <c r="AW91" s="27"/>
      <c r="AX91" s="27"/>
      <c r="AY91" s="36"/>
      <c r="AZ91" s="36"/>
      <c r="BA91" s="36"/>
      <c r="BB91" s="36"/>
    </row>
    <row r="92" spans="2:54">
      <c r="B92" s="27"/>
      <c r="D92" s="27"/>
      <c r="F92" s="27"/>
      <c r="H92" s="27"/>
      <c r="I92" s="27"/>
      <c r="J92" s="27"/>
      <c r="K92" s="27"/>
      <c r="L92" s="27"/>
      <c r="M92" s="27"/>
      <c r="N92" s="27"/>
      <c r="O92" s="27"/>
      <c r="P92" s="27"/>
      <c r="Q92" s="27"/>
      <c r="R92" s="27"/>
      <c r="S92" s="27"/>
      <c r="T92" s="27"/>
      <c r="U92" s="27"/>
      <c r="V92" s="27"/>
      <c r="W92" s="27"/>
      <c r="X92" s="27"/>
      <c r="Y92" s="27"/>
      <c r="Z92" s="27"/>
      <c r="AA92" s="27"/>
      <c r="AB92" s="27"/>
      <c r="AC92" s="27"/>
      <c r="AD92" s="27"/>
      <c r="AE92" s="27"/>
      <c r="AF92" s="27"/>
      <c r="AG92" s="27"/>
      <c r="AH92" s="27"/>
      <c r="AI92" s="27"/>
      <c r="AJ92" s="27"/>
      <c r="AK92" s="27"/>
      <c r="AL92" s="27"/>
      <c r="AM92" s="27"/>
      <c r="AN92" s="27"/>
      <c r="AO92" s="27"/>
      <c r="AP92" s="27"/>
      <c r="AQ92" s="27"/>
      <c r="AR92" s="27"/>
      <c r="AS92" s="27"/>
      <c r="AT92" s="27"/>
      <c r="AU92" s="27"/>
      <c r="AV92" s="27"/>
      <c r="AW92" s="27"/>
      <c r="AX92" s="27"/>
      <c r="AY92" s="36"/>
      <c r="AZ92" s="36"/>
      <c r="BA92" s="36"/>
      <c r="BB92" s="36"/>
    </row>
    <row r="93" spans="2:54">
      <c r="B93" s="27"/>
      <c r="D93" s="27"/>
      <c r="F93" s="27"/>
      <c r="H93" s="27"/>
      <c r="I93" s="27"/>
      <c r="J93" s="27"/>
      <c r="K93" s="27"/>
      <c r="L93" s="27"/>
      <c r="M93" s="27"/>
      <c r="N93" s="27"/>
      <c r="O93" s="27"/>
      <c r="P93" s="27"/>
      <c r="Q93" s="27"/>
      <c r="R93" s="27"/>
      <c r="S93" s="27"/>
      <c r="T93" s="27"/>
      <c r="U93" s="27"/>
      <c r="V93" s="27"/>
      <c r="W93" s="27"/>
      <c r="X93" s="27"/>
      <c r="Y93" s="27"/>
      <c r="Z93" s="27"/>
      <c r="AA93" s="27"/>
      <c r="AB93" s="27"/>
      <c r="AC93" s="27"/>
      <c r="AD93" s="27"/>
      <c r="AE93" s="27"/>
      <c r="AF93" s="27"/>
      <c r="AG93" s="27"/>
      <c r="AH93" s="27"/>
      <c r="AI93" s="27"/>
      <c r="AJ93" s="27"/>
      <c r="AK93" s="27"/>
      <c r="AL93" s="27"/>
      <c r="AM93" s="27"/>
      <c r="AN93" s="27"/>
      <c r="AO93" s="27"/>
      <c r="AP93" s="27"/>
      <c r="AQ93" s="27"/>
      <c r="AR93" s="27"/>
      <c r="AS93" s="27"/>
      <c r="AT93" s="27"/>
      <c r="AU93" s="27"/>
      <c r="AV93" s="27"/>
      <c r="AW93" s="27"/>
      <c r="AX93" s="27"/>
      <c r="AY93" s="36"/>
      <c r="AZ93" s="36"/>
      <c r="BA93" s="36"/>
      <c r="BB93" s="36"/>
    </row>
    <row r="94" spans="2:54">
      <c r="B94" s="27"/>
      <c r="D94" s="27"/>
      <c r="F94" s="27"/>
      <c r="H94" s="27"/>
      <c r="I94" s="27"/>
      <c r="J94" s="27"/>
      <c r="K94" s="27"/>
      <c r="L94" s="27"/>
      <c r="M94" s="27"/>
      <c r="N94" s="27"/>
      <c r="O94" s="27"/>
      <c r="P94" s="27"/>
      <c r="Q94" s="27"/>
      <c r="R94" s="27"/>
      <c r="S94" s="27"/>
      <c r="T94" s="27"/>
      <c r="U94" s="27"/>
      <c r="V94" s="27"/>
      <c r="W94" s="27"/>
      <c r="X94" s="27"/>
      <c r="Y94" s="27"/>
      <c r="Z94" s="27"/>
      <c r="AA94" s="27"/>
      <c r="AB94" s="27"/>
      <c r="AC94" s="27"/>
      <c r="AD94" s="27"/>
      <c r="AE94" s="27"/>
      <c r="AF94" s="27"/>
      <c r="AG94" s="27"/>
      <c r="AH94" s="27"/>
      <c r="AI94" s="27"/>
      <c r="AJ94" s="27"/>
      <c r="AK94" s="27"/>
      <c r="AL94" s="27"/>
      <c r="AM94" s="27"/>
      <c r="AN94" s="27"/>
      <c r="AO94" s="27"/>
      <c r="AP94" s="27"/>
      <c r="AQ94" s="27"/>
      <c r="AR94" s="27"/>
      <c r="AS94" s="27"/>
      <c r="AT94" s="27"/>
      <c r="AU94" s="27"/>
      <c r="AV94" s="27"/>
      <c r="AW94" s="27"/>
      <c r="AX94" s="27"/>
      <c r="AY94" s="36"/>
      <c r="AZ94" s="36"/>
      <c r="BA94" s="36"/>
      <c r="BB94" s="36"/>
    </row>
    <row r="95" spans="2:54">
      <c r="B95" s="27"/>
      <c r="D95" s="27"/>
      <c r="F95" s="27"/>
      <c r="H95" s="27"/>
      <c r="I95" s="27"/>
      <c r="J95" s="27"/>
      <c r="K95" s="27"/>
      <c r="L95" s="27"/>
      <c r="M95" s="27"/>
      <c r="N95" s="27"/>
      <c r="O95" s="27"/>
      <c r="P95" s="27"/>
      <c r="Q95" s="27"/>
      <c r="R95" s="27"/>
      <c r="S95" s="27"/>
      <c r="T95" s="27"/>
      <c r="U95" s="27"/>
      <c r="V95" s="27"/>
      <c r="W95" s="27"/>
      <c r="X95" s="27"/>
      <c r="Y95" s="27"/>
      <c r="Z95" s="27"/>
      <c r="AA95" s="27"/>
      <c r="AB95" s="27"/>
      <c r="AC95" s="27"/>
      <c r="AD95" s="27"/>
      <c r="AE95" s="27"/>
      <c r="AF95" s="27"/>
      <c r="AG95" s="27"/>
      <c r="AH95" s="27"/>
      <c r="AI95" s="27"/>
      <c r="AJ95" s="27"/>
      <c r="AK95" s="27"/>
      <c r="AL95" s="27"/>
      <c r="AM95" s="27"/>
      <c r="AN95" s="27"/>
      <c r="AO95" s="27"/>
      <c r="AP95" s="27"/>
      <c r="AQ95" s="27"/>
      <c r="AR95" s="27"/>
      <c r="AS95" s="27"/>
      <c r="AT95" s="27"/>
      <c r="AU95" s="27"/>
      <c r="AV95" s="27"/>
      <c r="AW95" s="27"/>
      <c r="AX95" s="27"/>
      <c r="AY95" s="36"/>
      <c r="AZ95" s="36"/>
      <c r="BA95" s="36"/>
      <c r="BB95" s="36"/>
    </row>
    <row r="96" spans="2:54">
      <c r="B96" s="27"/>
      <c r="D96" s="27"/>
      <c r="F96" s="27"/>
      <c r="H96" s="27"/>
      <c r="I96" s="27"/>
      <c r="J96" s="27"/>
      <c r="K96" s="27"/>
      <c r="L96" s="27"/>
      <c r="M96" s="27"/>
      <c r="N96" s="27"/>
      <c r="O96" s="27"/>
      <c r="P96" s="27"/>
      <c r="Q96" s="27"/>
      <c r="R96" s="27"/>
      <c r="S96" s="27"/>
      <c r="T96" s="27"/>
      <c r="U96" s="27"/>
      <c r="V96" s="27"/>
      <c r="W96" s="27"/>
      <c r="X96" s="27"/>
      <c r="Y96" s="27"/>
      <c r="Z96" s="27"/>
      <c r="AA96" s="27"/>
      <c r="AB96" s="27"/>
      <c r="AC96" s="27"/>
      <c r="AD96" s="27"/>
      <c r="AE96" s="27"/>
      <c r="AF96" s="27"/>
      <c r="AG96" s="27"/>
      <c r="AH96" s="27"/>
      <c r="AI96" s="27"/>
      <c r="AJ96" s="27"/>
      <c r="AK96" s="27"/>
      <c r="AL96" s="27"/>
      <c r="AM96" s="27"/>
      <c r="AN96" s="27"/>
      <c r="AO96" s="27"/>
      <c r="AP96" s="27"/>
      <c r="AQ96" s="27"/>
      <c r="AR96" s="27"/>
      <c r="AS96" s="27"/>
      <c r="AT96" s="27"/>
      <c r="AU96" s="27"/>
      <c r="AV96" s="27"/>
      <c r="AW96" s="27"/>
      <c r="AX96" s="27"/>
      <c r="AY96" s="36"/>
      <c r="AZ96" s="36"/>
      <c r="BA96" s="36"/>
      <c r="BB96" s="36"/>
    </row>
    <row r="97" spans="2:54">
      <c r="B97" s="27"/>
      <c r="D97" s="27"/>
      <c r="F97" s="27"/>
      <c r="H97" s="27"/>
      <c r="I97" s="27"/>
      <c r="J97" s="27"/>
      <c r="K97" s="27"/>
      <c r="L97" s="27"/>
      <c r="M97" s="27"/>
      <c r="N97" s="27"/>
      <c r="O97" s="27"/>
      <c r="P97" s="27"/>
      <c r="Q97" s="27"/>
      <c r="R97" s="27"/>
      <c r="S97" s="27"/>
      <c r="T97" s="27"/>
      <c r="U97" s="27"/>
      <c r="V97" s="27"/>
      <c r="W97" s="27"/>
      <c r="X97" s="27"/>
      <c r="Y97" s="27"/>
      <c r="Z97" s="27"/>
      <c r="AA97" s="27"/>
      <c r="AB97" s="27"/>
      <c r="AC97" s="27"/>
      <c r="AD97" s="27"/>
      <c r="AE97" s="27"/>
      <c r="AF97" s="27"/>
      <c r="AG97" s="27"/>
      <c r="AH97" s="27"/>
      <c r="AI97" s="27"/>
      <c r="AJ97" s="27"/>
      <c r="AK97" s="27"/>
      <c r="AL97" s="27"/>
      <c r="AM97" s="27"/>
      <c r="AN97" s="27"/>
      <c r="AO97" s="27"/>
      <c r="AP97" s="27"/>
      <c r="AQ97" s="27"/>
      <c r="AR97" s="27"/>
      <c r="AS97" s="27"/>
      <c r="AT97" s="27"/>
      <c r="AU97" s="27"/>
      <c r="AV97" s="27"/>
      <c r="AW97" s="27"/>
      <c r="AX97" s="27"/>
      <c r="AY97" s="36"/>
      <c r="AZ97" s="36"/>
      <c r="BA97" s="36"/>
      <c r="BB97" s="36"/>
    </row>
    <row r="98" spans="2:54">
      <c r="B98" s="27"/>
      <c r="D98" s="27"/>
      <c r="F98" s="27"/>
      <c r="H98" s="27"/>
      <c r="I98" s="27"/>
      <c r="J98" s="27"/>
      <c r="K98" s="27"/>
      <c r="L98" s="27"/>
      <c r="M98" s="27"/>
      <c r="N98" s="27"/>
      <c r="O98" s="27"/>
      <c r="P98" s="27"/>
      <c r="Q98" s="27"/>
      <c r="R98" s="27"/>
      <c r="S98" s="27"/>
      <c r="T98" s="27"/>
      <c r="U98" s="27"/>
      <c r="V98" s="27"/>
      <c r="W98" s="27"/>
      <c r="X98" s="27"/>
      <c r="Y98" s="27"/>
      <c r="Z98" s="27"/>
      <c r="AA98" s="27"/>
      <c r="AB98" s="27"/>
      <c r="AC98" s="27"/>
      <c r="AD98" s="27"/>
      <c r="AE98" s="27"/>
      <c r="AF98" s="27"/>
      <c r="AG98" s="27"/>
      <c r="AH98" s="27"/>
      <c r="AI98" s="27"/>
      <c r="AJ98" s="27"/>
      <c r="AK98" s="27"/>
      <c r="AL98" s="27"/>
      <c r="AM98" s="27"/>
      <c r="AN98" s="27"/>
      <c r="AO98" s="27"/>
      <c r="AP98" s="27"/>
      <c r="AQ98" s="27"/>
      <c r="AR98" s="27"/>
      <c r="AS98" s="27"/>
      <c r="AT98" s="27"/>
      <c r="AU98" s="27"/>
      <c r="AV98" s="27"/>
      <c r="AW98" s="27"/>
      <c r="AX98" s="27"/>
      <c r="AY98" s="36"/>
      <c r="AZ98" s="36"/>
      <c r="BA98" s="36"/>
      <c r="BB98" s="36"/>
    </row>
    <row r="99" spans="2:54">
      <c r="B99" s="27"/>
      <c r="D99" s="27"/>
      <c r="F99" s="27"/>
      <c r="H99" s="27"/>
      <c r="I99" s="27"/>
      <c r="J99" s="27"/>
      <c r="K99" s="27"/>
      <c r="L99" s="27"/>
      <c r="M99" s="27"/>
      <c r="N99" s="27"/>
      <c r="O99" s="27"/>
      <c r="P99" s="27"/>
      <c r="Q99" s="27"/>
      <c r="R99" s="27"/>
      <c r="S99" s="27"/>
      <c r="T99" s="27"/>
      <c r="U99" s="27"/>
      <c r="V99" s="27"/>
      <c r="W99" s="27"/>
      <c r="X99" s="27"/>
      <c r="Y99" s="27"/>
      <c r="Z99" s="27"/>
      <c r="AA99" s="27"/>
      <c r="AB99" s="27"/>
      <c r="AC99" s="27"/>
      <c r="AD99" s="27"/>
      <c r="AE99" s="27"/>
      <c r="AF99" s="27"/>
      <c r="AG99" s="27"/>
      <c r="AH99" s="27"/>
      <c r="AI99" s="27"/>
      <c r="AJ99" s="27"/>
      <c r="AK99" s="27"/>
      <c r="AL99" s="27"/>
      <c r="AM99" s="27"/>
      <c r="AN99" s="27"/>
      <c r="AO99" s="27"/>
      <c r="AP99" s="27"/>
      <c r="AQ99" s="27"/>
      <c r="AR99" s="27"/>
      <c r="AS99" s="27"/>
      <c r="AT99" s="27"/>
      <c r="AU99" s="27"/>
      <c r="AV99" s="27"/>
      <c r="AW99" s="27"/>
      <c r="AX99" s="27"/>
      <c r="AY99" s="36"/>
      <c r="AZ99" s="36"/>
      <c r="BA99" s="36"/>
      <c r="BB99" s="36"/>
    </row>
    <row r="100" spans="2:54">
      <c r="B100" s="27"/>
      <c r="D100" s="27"/>
      <c r="F100" s="27"/>
      <c r="H100" s="27"/>
      <c r="I100" s="27"/>
      <c r="J100" s="27"/>
      <c r="K100" s="27"/>
      <c r="L100" s="27"/>
      <c r="M100" s="27"/>
      <c r="N100" s="27"/>
      <c r="O100" s="27"/>
      <c r="P100" s="27"/>
      <c r="Q100" s="27"/>
      <c r="R100" s="27"/>
      <c r="S100" s="27"/>
      <c r="T100" s="27"/>
      <c r="U100" s="27"/>
      <c r="V100" s="27"/>
      <c r="W100" s="27"/>
      <c r="X100" s="27"/>
      <c r="Y100" s="27"/>
      <c r="Z100" s="27"/>
      <c r="AA100" s="27"/>
      <c r="AB100" s="27"/>
      <c r="AC100" s="27"/>
      <c r="AD100" s="27"/>
      <c r="AE100" s="27"/>
      <c r="AF100" s="27"/>
      <c r="AG100" s="27"/>
      <c r="AH100" s="27"/>
      <c r="AI100" s="27"/>
      <c r="AJ100" s="27"/>
      <c r="AK100" s="27"/>
      <c r="AL100" s="27"/>
      <c r="AM100" s="27"/>
      <c r="AN100" s="27"/>
      <c r="AO100" s="27"/>
      <c r="AP100" s="27"/>
      <c r="AQ100" s="27"/>
      <c r="AR100" s="27"/>
      <c r="AS100" s="27"/>
      <c r="AT100" s="27"/>
      <c r="AU100" s="27"/>
      <c r="AV100" s="27"/>
      <c r="AW100" s="27"/>
      <c r="AX100" s="27"/>
      <c r="AY100" s="36"/>
      <c r="AZ100" s="36"/>
      <c r="BA100" s="36"/>
      <c r="BB100" s="36"/>
    </row>
    <row r="101" spans="2:54">
      <c r="B101" s="27"/>
      <c r="D101" s="27"/>
      <c r="F101" s="27"/>
      <c r="H101" s="27"/>
      <c r="I101" s="27"/>
      <c r="J101" s="27"/>
      <c r="K101" s="27"/>
      <c r="L101" s="27"/>
      <c r="M101" s="27"/>
      <c r="N101" s="27"/>
      <c r="O101" s="27"/>
      <c r="P101" s="27"/>
      <c r="Q101" s="27"/>
      <c r="R101" s="27"/>
      <c r="S101" s="27"/>
      <c r="T101" s="27"/>
      <c r="U101" s="27"/>
      <c r="V101" s="27"/>
      <c r="W101" s="27"/>
      <c r="X101" s="27"/>
      <c r="Y101" s="27"/>
      <c r="Z101" s="27"/>
      <c r="AA101" s="27"/>
      <c r="AB101" s="27"/>
      <c r="AC101" s="27"/>
      <c r="AD101" s="27"/>
      <c r="AE101" s="27"/>
      <c r="AF101" s="27"/>
      <c r="AG101" s="27"/>
      <c r="AH101" s="27"/>
      <c r="AI101" s="27"/>
      <c r="AJ101" s="27"/>
      <c r="AK101" s="27"/>
      <c r="AL101" s="27"/>
      <c r="AM101" s="27"/>
      <c r="AN101" s="27"/>
      <c r="AO101" s="27"/>
      <c r="AP101" s="27"/>
      <c r="AQ101" s="27"/>
      <c r="AR101" s="27"/>
      <c r="AS101" s="27"/>
      <c r="AT101" s="27"/>
      <c r="AU101" s="27"/>
      <c r="AV101" s="27"/>
      <c r="AW101" s="27"/>
      <c r="AX101" s="27"/>
      <c r="AY101" s="36"/>
      <c r="AZ101" s="36"/>
      <c r="BA101" s="36"/>
      <c r="BB101" s="36"/>
    </row>
    <row r="102" spans="2:54">
      <c r="B102" s="27"/>
      <c r="D102" s="27"/>
      <c r="F102" s="27"/>
      <c r="H102" s="27"/>
      <c r="I102" s="27"/>
      <c r="J102" s="27"/>
      <c r="K102" s="27"/>
      <c r="L102" s="27"/>
      <c r="M102" s="27"/>
      <c r="N102" s="27"/>
      <c r="O102" s="27"/>
      <c r="P102" s="27"/>
      <c r="Q102" s="27"/>
      <c r="R102" s="27"/>
      <c r="S102" s="27"/>
      <c r="T102" s="27"/>
      <c r="U102" s="27"/>
      <c r="V102" s="27"/>
      <c r="W102" s="27"/>
      <c r="X102" s="27"/>
      <c r="Y102" s="27"/>
      <c r="Z102" s="27"/>
      <c r="AA102" s="27"/>
      <c r="AB102" s="27"/>
      <c r="AC102" s="27"/>
      <c r="AD102" s="27"/>
      <c r="AE102" s="27"/>
      <c r="AF102" s="27"/>
      <c r="AG102" s="27"/>
      <c r="AH102" s="27"/>
      <c r="AI102" s="27"/>
      <c r="AJ102" s="27"/>
      <c r="AK102" s="27"/>
      <c r="AL102" s="27"/>
      <c r="AM102" s="27"/>
      <c r="AN102" s="27"/>
      <c r="AO102" s="27"/>
      <c r="AP102" s="27"/>
      <c r="AQ102" s="27"/>
      <c r="AR102" s="27"/>
      <c r="AS102" s="27"/>
      <c r="AT102" s="27"/>
      <c r="AU102" s="27"/>
      <c r="AV102" s="27"/>
      <c r="AW102" s="27"/>
      <c r="AX102" s="27"/>
      <c r="AY102" s="36"/>
      <c r="AZ102" s="36"/>
      <c r="BA102" s="36"/>
      <c r="BB102" s="36"/>
    </row>
    <row r="103" spans="2:54">
      <c r="B103" s="27"/>
      <c r="D103" s="27"/>
      <c r="F103" s="27"/>
      <c r="H103" s="27"/>
      <c r="I103" s="27"/>
      <c r="J103" s="27"/>
      <c r="K103" s="27"/>
      <c r="L103" s="27"/>
      <c r="M103" s="27"/>
      <c r="N103" s="27"/>
      <c r="O103" s="27"/>
      <c r="P103" s="27"/>
      <c r="Q103" s="27"/>
      <c r="R103" s="27"/>
      <c r="S103" s="27"/>
      <c r="T103" s="27"/>
      <c r="U103" s="27"/>
      <c r="V103" s="27"/>
      <c r="W103" s="27"/>
      <c r="X103" s="27"/>
      <c r="Y103" s="27"/>
      <c r="Z103" s="27"/>
      <c r="AA103" s="27"/>
      <c r="AB103" s="27"/>
      <c r="AC103" s="27"/>
      <c r="AD103" s="27"/>
      <c r="AE103" s="27"/>
      <c r="AF103" s="27"/>
      <c r="AG103" s="27"/>
      <c r="AH103" s="27"/>
      <c r="AI103" s="27"/>
      <c r="AJ103" s="27"/>
      <c r="AK103" s="27"/>
      <c r="AL103" s="27"/>
      <c r="AM103" s="27"/>
      <c r="AN103" s="27"/>
      <c r="AO103" s="27"/>
      <c r="AP103" s="27"/>
      <c r="AQ103" s="27"/>
      <c r="AR103" s="27"/>
      <c r="AS103" s="27"/>
      <c r="AT103" s="27"/>
      <c r="AU103" s="27"/>
      <c r="AV103" s="27"/>
      <c r="AW103" s="27"/>
      <c r="AX103" s="27"/>
      <c r="AY103" s="36"/>
      <c r="AZ103" s="36"/>
      <c r="BA103" s="36"/>
      <c r="BB103" s="36"/>
    </row>
    <row r="104" spans="2:54">
      <c r="B104" s="27"/>
      <c r="D104" s="27"/>
      <c r="F104" s="27"/>
      <c r="H104" s="27"/>
      <c r="I104" s="27"/>
      <c r="J104" s="27"/>
      <c r="K104" s="27"/>
      <c r="L104" s="27"/>
      <c r="M104" s="27"/>
      <c r="N104" s="27"/>
      <c r="O104" s="27"/>
      <c r="P104" s="27"/>
      <c r="Q104" s="27"/>
      <c r="R104" s="27"/>
      <c r="S104" s="27"/>
      <c r="T104" s="27"/>
      <c r="U104" s="27"/>
      <c r="V104" s="27"/>
      <c r="W104" s="27"/>
      <c r="X104" s="27"/>
      <c r="Y104" s="27"/>
      <c r="Z104" s="27"/>
      <c r="AA104" s="27"/>
      <c r="AB104" s="27"/>
      <c r="AC104" s="27"/>
      <c r="AD104" s="27"/>
      <c r="AE104" s="27"/>
      <c r="AF104" s="27"/>
      <c r="AG104" s="27"/>
      <c r="AH104" s="27"/>
      <c r="AI104" s="27"/>
      <c r="AJ104" s="27"/>
      <c r="AK104" s="27"/>
      <c r="AL104" s="27"/>
      <c r="AM104" s="27"/>
      <c r="AN104" s="27"/>
      <c r="AO104" s="27"/>
      <c r="AP104" s="27"/>
      <c r="AQ104" s="27"/>
      <c r="AR104" s="27"/>
      <c r="AS104" s="27"/>
      <c r="AT104" s="27"/>
      <c r="AU104" s="27"/>
      <c r="AV104" s="27"/>
      <c r="AW104" s="27"/>
      <c r="AX104" s="27"/>
      <c r="AY104" s="36"/>
      <c r="AZ104" s="36"/>
      <c r="BA104" s="36"/>
      <c r="BB104" s="36"/>
    </row>
    <row r="105" spans="2:54">
      <c r="B105" s="27"/>
      <c r="D105" s="27"/>
      <c r="F105" s="27"/>
      <c r="H105" s="27"/>
      <c r="I105" s="27"/>
      <c r="J105" s="27"/>
      <c r="K105" s="27"/>
      <c r="L105" s="27"/>
      <c r="M105" s="27"/>
      <c r="N105" s="27"/>
      <c r="O105" s="27"/>
      <c r="P105" s="27"/>
      <c r="Q105" s="27"/>
      <c r="R105" s="27"/>
      <c r="S105" s="27"/>
      <c r="T105" s="27"/>
      <c r="U105" s="27"/>
      <c r="V105" s="27"/>
      <c r="W105" s="27"/>
      <c r="X105" s="27"/>
      <c r="Y105" s="27"/>
      <c r="Z105" s="27"/>
      <c r="AA105" s="27"/>
      <c r="AB105" s="27"/>
      <c r="AC105" s="27"/>
      <c r="AD105" s="27"/>
      <c r="AE105" s="27"/>
      <c r="AF105" s="27"/>
      <c r="AG105" s="27"/>
      <c r="AH105" s="27"/>
      <c r="AI105" s="27"/>
      <c r="AJ105" s="27"/>
      <c r="AK105" s="27"/>
      <c r="AL105" s="27"/>
      <c r="AM105" s="27"/>
      <c r="AN105" s="27"/>
      <c r="AO105" s="27"/>
      <c r="AP105" s="27"/>
      <c r="AQ105" s="27"/>
      <c r="AR105" s="27"/>
      <c r="AS105" s="27"/>
      <c r="AT105" s="27"/>
      <c r="AU105" s="27"/>
      <c r="AV105" s="27"/>
      <c r="AW105" s="27"/>
      <c r="AX105" s="27"/>
      <c r="AY105" s="36"/>
      <c r="AZ105" s="36"/>
      <c r="BA105" s="36"/>
      <c r="BB105" s="36"/>
    </row>
    <row r="106" spans="2:54">
      <c r="B106" s="36"/>
      <c r="D106" s="36"/>
      <c r="F106" s="36"/>
      <c r="H106" s="36"/>
      <c r="I106" s="36"/>
      <c r="J106" s="36"/>
      <c r="K106" s="36"/>
      <c r="L106" s="36"/>
      <c r="M106" s="36"/>
      <c r="N106" s="36"/>
      <c r="O106" s="36"/>
      <c r="P106" s="36"/>
      <c r="Q106" s="36"/>
      <c r="R106" s="36"/>
      <c r="S106" s="36"/>
      <c r="T106" s="36"/>
      <c r="U106" s="36"/>
      <c r="V106" s="36"/>
      <c r="W106" s="36"/>
      <c r="X106" s="36"/>
      <c r="Y106" s="36"/>
      <c r="Z106" s="36"/>
      <c r="AA106" s="36"/>
      <c r="AB106" s="36"/>
      <c r="AC106" s="36"/>
      <c r="AD106" s="36"/>
      <c r="AE106" s="36"/>
      <c r="AF106" s="36"/>
      <c r="AG106" s="36"/>
      <c r="AH106" s="36"/>
      <c r="AI106" s="36"/>
      <c r="AJ106" s="36"/>
      <c r="AK106" s="36"/>
      <c r="AL106" s="36"/>
      <c r="AM106" s="36"/>
      <c r="AN106" s="36"/>
      <c r="AO106" s="36"/>
      <c r="AP106" s="36"/>
      <c r="AQ106" s="36"/>
      <c r="AR106" s="36"/>
      <c r="AS106" s="36"/>
      <c r="AT106" s="36"/>
      <c r="AU106" s="36"/>
      <c r="AV106" s="36"/>
      <c r="AW106" s="36"/>
      <c r="AX106" s="36"/>
      <c r="AY106" s="36"/>
      <c r="AZ106" s="36"/>
      <c r="BA106" s="36"/>
      <c r="BB106" s="36"/>
    </row>
    <row r="107" spans="2:54">
      <c r="B107" s="36"/>
      <c r="D107" s="36"/>
      <c r="F107" s="36"/>
      <c r="H107" s="36"/>
      <c r="I107" s="36"/>
      <c r="J107" s="36"/>
      <c r="K107" s="36"/>
      <c r="L107" s="36"/>
      <c r="M107" s="36"/>
      <c r="N107" s="36"/>
      <c r="O107" s="36"/>
      <c r="P107" s="36"/>
      <c r="Q107" s="36"/>
      <c r="R107" s="36"/>
      <c r="S107" s="36"/>
      <c r="T107" s="36"/>
      <c r="U107" s="36"/>
      <c r="V107" s="36"/>
      <c r="W107" s="36"/>
      <c r="X107" s="36"/>
      <c r="Y107" s="36"/>
      <c r="Z107" s="36"/>
      <c r="AA107" s="36"/>
      <c r="AB107" s="36"/>
      <c r="AC107" s="36"/>
      <c r="AD107" s="36"/>
      <c r="AE107" s="36"/>
      <c r="AF107" s="36"/>
      <c r="AG107" s="36"/>
      <c r="AH107" s="36"/>
      <c r="AI107" s="36"/>
      <c r="AJ107" s="36"/>
      <c r="AK107" s="36"/>
      <c r="AL107" s="36"/>
      <c r="AM107" s="36"/>
      <c r="AN107" s="36"/>
      <c r="AO107" s="36"/>
      <c r="AP107" s="36"/>
      <c r="AQ107" s="36"/>
      <c r="AR107" s="36"/>
      <c r="AS107" s="36"/>
      <c r="AT107" s="36"/>
      <c r="AU107" s="36"/>
      <c r="AV107" s="36"/>
      <c r="AW107" s="36"/>
      <c r="AX107" s="36"/>
      <c r="AY107" s="36"/>
      <c r="AZ107" s="36"/>
      <c r="BA107" s="36"/>
      <c r="BB107" s="36"/>
    </row>
    <row r="108" spans="2:54">
      <c r="B108" s="36"/>
      <c r="D108" s="36"/>
      <c r="F108" s="36"/>
      <c r="H108" s="36"/>
      <c r="I108" s="36"/>
      <c r="J108" s="36"/>
      <c r="K108" s="36"/>
      <c r="L108" s="36"/>
      <c r="M108" s="36"/>
      <c r="N108" s="36"/>
      <c r="O108" s="36"/>
      <c r="P108" s="36"/>
      <c r="Q108" s="36"/>
      <c r="R108" s="36"/>
      <c r="S108" s="36"/>
      <c r="T108" s="36"/>
      <c r="U108" s="36"/>
      <c r="V108" s="36"/>
      <c r="W108" s="36"/>
      <c r="X108" s="36"/>
      <c r="Y108" s="36"/>
      <c r="Z108" s="36"/>
      <c r="AA108" s="36"/>
      <c r="AB108" s="36"/>
      <c r="AC108" s="36"/>
      <c r="AD108" s="36"/>
      <c r="AE108" s="36"/>
      <c r="AF108" s="36"/>
      <c r="AG108" s="36"/>
      <c r="AH108" s="36"/>
      <c r="AI108" s="36"/>
      <c r="AJ108" s="36"/>
      <c r="AK108" s="36"/>
      <c r="AL108" s="36"/>
      <c r="AM108" s="36"/>
      <c r="AN108" s="36"/>
      <c r="AO108" s="36"/>
      <c r="AP108" s="36"/>
      <c r="AQ108" s="36"/>
      <c r="AR108" s="36"/>
      <c r="AS108" s="36"/>
      <c r="AT108" s="36"/>
      <c r="AU108" s="36"/>
      <c r="AV108" s="36"/>
      <c r="AW108" s="36"/>
      <c r="AX108" s="36"/>
      <c r="AY108" s="36"/>
      <c r="AZ108" s="36"/>
      <c r="BA108" s="36"/>
      <c r="BB108" s="36"/>
    </row>
    <row r="109" spans="2:54">
      <c r="B109" s="36"/>
      <c r="D109" s="36"/>
      <c r="F109" s="36"/>
      <c r="H109" s="36"/>
      <c r="I109" s="36"/>
      <c r="J109" s="36"/>
      <c r="K109" s="36"/>
      <c r="L109" s="36"/>
      <c r="M109" s="36"/>
      <c r="N109" s="36"/>
      <c r="O109" s="36"/>
      <c r="P109" s="36"/>
      <c r="Q109" s="36"/>
      <c r="R109" s="36"/>
      <c r="S109" s="36"/>
      <c r="T109" s="36"/>
      <c r="U109" s="36"/>
      <c r="V109" s="36"/>
      <c r="W109" s="36"/>
      <c r="X109" s="36"/>
      <c r="Y109" s="36"/>
      <c r="Z109" s="36"/>
      <c r="AA109" s="36"/>
      <c r="AB109" s="36"/>
      <c r="AC109" s="36"/>
      <c r="AD109" s="36"/>
      <c r="AE109" s="36"/>
      <c r="AF109" s="36"/>
      <c r="AG109" s="36"/>
      <c r="AH109" s="36"/>
      <c r="AI109" s="36"/>
      <c r="AJ109" s="36"/>
      <c r="AK109" s="36"/>
      <c r="AL109" s="36"/>
      <c r="AM109" s="36"/>
      <c r="AN109" s="36"/>
      <c r="AO109" s="36"/>
      <c r="AP109" s="36"/>
      <c r="AQ109" s="36"/>
      <c r="AR109" s="36"/>
      <c r="AS109" s="36"/>
      <c r="AT109" s="36"/>
      <c r="AU109" s="36"/>
      <c r="AV109" s="36"/>
      <c r="AW109" s="36"/>
      <c r="AX109" s="36"/>
      <c r="AY109" s="36"/>
      <c r="AZ109" s="36"/>
      <c r="BA109" s="36"/>
      <c r="BB109" s="36"/>
    </row>
    <row r="110" spans="2:54">
      <c r="B110" s="36"/>
      <c r="D110" s="36"/>
      <c r="F110" s="36"/>
      <c r="H110" s="36"/>
      <c r="I110" s="36"/>
      <c r="J110" s="36"/>
      <c r="K110" s="36"/>
      <c r="L110" s="36"/>
      <c r="M110" s="36"/>
      <c r="N110" s="36"/>
      <c r="O110" s="36"/>
      <c r="P110" s="36"/>
      <c r="Q110" s="36"/>
      <c r="R110" s="36"/>
      <c r="S110" s="36"/>
      <c r="T110" s="36"/>
      <c r="U110" s="36"/>
      <c r="V110" s="36"/>
      <c r="W110" s="36"/>
      <c r="X110" s="36"/>
      <c r="Y110" s="36"/>
      <c r="Z110" s="36"/>
      <c r="AA110" s="36"/>
      <c r="AB110" s="36"/>
      <c r="AC110" s="36"/>
      <c r="AD110" s="36"/>
      <c r="AE110" s="36"/>
      <c r="AF110" s="36"/>
      <c r="AG110" s="36"/>
      <c r="AH110" s="36"/>
      <c r="AI110" s="36"/>
      <c r="AJ110" s="36"/>
      <c r="AK110" s="36"/>
      <c r="AL110" s="36"/>
      <c r="AM110" s="36"/>
      <c r="AN110" s="36"/>
      <c r="AO110" s="36"/>
      <c r="AP110" s="36"/>
      <c r="AQ110" s="36"/>
      <c r="AR110" s="36"/>
      <c r="AS110" s="36"/>
      <c r="AT110" s="36"/>
      <c r="AU110" s="36"/>
      <c r="AV110" s="36"/>
      <c r="AW110" s="36"/>
      <c r="AX110" s="36"/>
      <c r="AY110" s="36"/>
      <c r="AZ110" s="36"/>
      <c r="BA110" s="36"/>
      <c r="BB110" s="36"/>
    </row>
    <row r="111" spans="2:54">
      <c r="B111" s="36"/>
      <c r="D111" s="36"/>
      <c r="F111" s="36"/>
      <c r="H111" s="36"/>
      <c r="I111" s="36"/>
      <c r="J111" s="36"/>
      <c r="K111" s="36"/>
      <c r="L111" s="36"/>
      <c r="M111" s="36"/>
      <c r="N111" s="36"/>
      <c r="O111" s="36"/>
      <c r="P111" s="36"/>
      <c r="Q111" s="36"/>
      <c r="R111" s="36"/>
      <c r="S111" s="36"/>
      <c r="T111" s="36"/>
      <c r="U111" s="36"/>
      <c r="V111" s="36"/>
      <c r="W111" s="36"/>
      <c r="X111" s="36"/>
      <c r="Y111" s="36"/>
      <c r="Z111" s="36"/>
      <c r="AA111" s="36"/>
      <c r="AB111" s="36"/>
      <c r="AC111" s="36"/>
      <c r="AD111" s="36"/>
      <c r="AE111" s="36"/>
      <c r="AF111" s="36"/>
      <c r="AG111" s="36"/>
      <c r="AH111" s="36"/>
      <c r="AI111" s="36"/>
      <c r="AJ111" s="36"/>
      <c r="AK111" s="36"/>
      <c r="AL111" s="36"/>
      <c r="AM111" s="36"/>
      <c r="AN111" s="36"/>
      <c r="AO111" s="36"/>
      <c r="AP111" s="36"/>
      <c r="AQ111" s="36"/>
      <c r="AR111" s="36"/>
      <c r="AS111" s="36"/>
      <c r="AT111" s="36"/>
      <c r="AU111" s="36"/>
      <c r="AV111" s="36"/>
      <c r="AW111" s="36"/>
      <c r="AX111" s="36"/>
      <c r="AY111" s="36"/>
      <c r="AZ111" s="36"/>
      <c r="BA111" s="36"/>
      <c r="BB111" s="36"/>
    </row>
    <row r="112" spans="2:54">
      <c r="B112" s="36"/>
      <c r="D112" s="36"/>
      <c r="F112" s="36"/>
      <c r="H112" s="36"/>
      <c r="I112" s="36"/>
      <c r="J112" s="36"/>
      <c r="K112" s="36"/>
      <c r="L112" s="36"/>
      <c r="M112" s="36"/>
      <c r="N112" s="36"/>
      <c r="O112" s="36"/>
      <c r="P112" s="36"/>
      <c r="Q112" s="36"/>
      <c r="R112" s="36"/>
      <c r="S112" s="36"/>
      <c r="T112" s="36"/>
      <c r="U112" s="36"/>
      <c r="V112" s="36"/>
      <c r="W112" s="36"/>
      <c r="X112" s="36"/>
      <c r="Y112" s="36"/>
      <c r="Z112" s="36"/>
      <c r="AA112" s="36"/>
      <c r="AB112" s="36"/>
      <c r="AC112" s="36"/>
      <c r="AD112" s="36"/>
      <c r="AE112" s="36"/>
      <c r="AF112" s="36"/>
      <c r="AG112" s="36"/>
      <c r="AH112" s="36"/>
      <c r="AI112" s="36"/>
      <c r="AJ112" s="36"/>
      <c r="AK112" s="36"/>
      <c r="AL112" s="36"/>
      <c r="AM112" s="36"/>
      <c r="AN112" s="36"/>
      <c r="AO112" s="36"/>
      <c r="AP112" s="36"/>
      <c r="AQ112" s="36"/>
      <c r="AR112" s="36"/>
      <c r="AS112" s="36"/>
      <c r="AT112" s="36"/>
      <c r="AU112" s="36"/>
      <c r="AV112" s="36"/>
      <c r="AW112" s="36"/>
      <c r="AX112" s="36"/>
      <c r="AY112" s="36"/>
      <c r="AZ112" s="36"/>
      <c r="BA112" s="36"/>
      <c r="BB112" s="36"/>
    </row>
    <row r="113" spans="2:54">
      <c r="B113" s="36"/>
      <c r="D113" s="36"/>
      <c r="F113" s="36"/>
      <c r="H113" s="36"/>
      <c r="I113" s="36"/>
      <c r="J113" s="36"/>
      <c r="K113" s="36"/>
      <c r="L113" s="36"/>
      <c r="M113" s="36"/>
      <c r="N113" s="36"/>
      <c r="O113" s="36"/>
      <c r="P113" s="36"/>
      <c r="Q113" s="36"/>
      <c r="R113" s="36"/>
      <c r="S113" s="36"/>
      <c r="T113" s="36"/>
      <c r="U113" s="36"/>
      <c r="V113" s="36"/>
      <c r="W113" s="36"/>
      <c r="X113" s="36"/>
      <c r="Y113" s="36"/>
      <c r="Z113" s="36"/>
      <c r="AA113" s="36"/>
      <c r="AB113" s="36"/>
      <c r="AC113" s="36"/>
      <c r="AD113" s="36"/>
      <c r="AE113" s="36"/>
      <c r="AF113" s="36"/>
      <c r="AG113" s="36"/>
      <c r="AH113" s="36"/>
      <c r="AI113" s="36"/>
      <c r="AJ113" s="36"/>
      <c r="AK113" s="36"/>
      <c r="AL113" s="36"/>
      <c r="AM113" s="36"/>
      <c r="AN113" s="36"/>
      <c r="AO113" s="36"/>
      <c r="AP113" s="36"/>
      <c r="AQ113" s="36"/>
      <c r="AR113" s="36"/>
      <c r="AS113" s="36"/>
      <c r="AT113" s="36"/>
      <c r="AU113" s="36"/>
      <c r="AV113" s="36"/>
      <c r="AW113" s="36"/>
      <c r="AX113" s="36"/>
      <c r="AY113" s="36"/>
      <c r="AZ113" s="36"/>
      <c r="BA113" s="36"/>
      <c r="BB113" s="36"/>
    </row>
    <row r="114" spans="2:54">
      <c r="B114" s="36"/>
      <c r="D114" s="36"/>
      <c r="F114" s="36"/>
      <c r="H114" s="36"/>
      <c r="I114" s="36"/>
      <c r="J114" s="36"/>
      <c r="K114" s="36"/>
      <c r="L114" s="36"/>
      <c r="M114" s="36"/>
      <c r="N114" s="36"/>
      <c r="O114" s="36"/>
      <c r="P114" s="36"/>
      <c r="Q114" s="36"/>
      <c r="R114" s="36"/>
      <c r="S114" s="36"/>
      <c r="T114" s="36"/>
      <c r="U114" s="36"/>
      <c r="V114" s="36"/>
      <c r="W114" s="36"/>
      <c r="X114" s="36"/>
      <c r="Y114" s="36"/>
      <c r="Z114" s="36"/>
      <c r="AA114" s="36"/>
      <c r="AB114" s="36"/>
      <c r="AC114" s="36"/>
      <c r="AD114" s="36"/>
      <c r="AE114" s="36"/>
      <c r="AF114" s="36"/>
      <c r="AG114" s="36"/>
      <c r="AH114" s="36"/>
      <c r="AI114" s="36"/>
      <c r="AJ114" s="36"/>
      <c r="AK114" s="36"/>
      <c r="AL114" s="36"/>
      <c r="AM114" s="36"/>
      <c r="AN114" s="36"/>
      <c r="AO114" s="36"/>
      <c r="AP114" s="36"/>
      <c r="AQ114" s="36"/>
      <c r="AR114" s="36"/>
      <c r="AS114" s="36"/>
      <c r="AT114" s="36"/>
      <c r="AU114" s="36"/>
      <c r="AV114" s="36"/>
      <c r="AW114" s="36"/>
      <c r="AX114" s="36"/>
      <c r="AY114" s="36"/>
      <c r="AZ114" s="36"/>
      <c r="BA114" s="36"/>
      <c r="BB114" s="36"/>
    </row>
    <row r="115" spans="2:54">
      <c r="B115" s="36"/>
      <c r="D115" s="36"/>
      <c r="F115" s="36"/>
      <c r="H115" s="36"/>
      <c r="I115" s="36"/>
      <c r="J115" s="36"/>
      <c r="K115" s="36"/>
      <c r="L115" s="36"/>
      <c r="M115" s="36"/>
      <c r="N115" s="36"/>
      <c r="O115" s="36"/>
      <c r="P115" s="36"/>
      <c r="Q115" s="36"/>
      <c r="R115" s="36"/>
      <c r="S115" s="36"/>
      <c r="T115" s="36"/>
      <c r="U115" s="36"/>
      <c r="V115" s="36"/>
      <c r="W115" s="36"/>
      <c r="X115" s="36"/>
      <c r="Y115" s="36"/>
      <c r="Z115" s="36"/>
      <c r="AA115" s="36"/>
      <c r="AB115" s="36"/>
      <c r="AC115" s="36"/>
      <c r="AD115" s="36"/>
      <c r="AE115" s="36"/>
      <c r="AF115" s="36"/>
      <c r="AG115" s="36"/>
      <c r="AH115" s="36"/>
      <c r="AI115" s="36"/>
      <c r="AJ115" s="36"/>
      <c r="AK115" s="36"/>
      <c r="AL115" s="36"/>
      <c r="AM115" s="36"/>
      <c r="AN115" s="36"/>
      <c r="AO115" s="36"/>
      <c r="AP115" s="36"/>
      <c r="AQ115" s="36"/>
      <c r="AR115" s="36"/>
      <c r="AS115" s="36"/>
      <c r="AT115" s="36"/>
      <c r="AU115" s="36"/>
      <c r="AV115" s="36"/>
      <c r="AW115" s="36"/>
      <c r="AX115" s="36"/>
      <c r="AY115" s="36"/>
      <c r="AZ115" s="36"/>
      <c r="BA115" s="36"/>
      <c r="BB115" s="36"/>
    </row>
    <row r="116" spans="2:54">
      <c r="B116" s="36"/>
      <c r="D116" s="36"/>
      <c r="F116" s="36"/>
      <c r="H116" s="36"/>
      <c r="I116" s="36"/>
      <c r="J116" s="36"/>
      <c r="K116" s="36"/>
      <c r="L116" s="36"/>
      <c r="M116" s="36"/>
      <c r="N116" s="36"/>
      <c r="O116" s="36"/>
      <c r="P116" s="36"/>
      <c r="Q116" s="36"/>
      <c r="R116" s="36"/>
      <c r="S116" s="36"/>
      <c r="T116" s="36"/>
      <c r="U116" s="36"/>
      <c r="V116" s="36"/>
      <c r="W116" s="36"/>
      <c r="X116" s="36"/>
      <c r="Y116" s="36"/>
      <c r="Z116" s="36"/>
      <c r="AA116" s="36"/>
      <c r="AB116" s="36"/>
      <c r="AC116" s="36"/>
      <c r="AD116" s="36"/>
      <c r="AE116" s="36"/>
      <c r="AF116" s="36"/>
      <c r="AG116" s="36"/>
      <c r="AH116" s="36"/>
      <c r="AI116" s="36"/>
      <c r="AJ116" s="36"/>
      <c r="AK116" s="36"/>
      <c r="AL116" s="36"/>
      <c r="AM116" s="36"/>
      <c r="AN116" s="36"/>
      <c r="AO116" s="36"/>
      <c r="AP116" s="36"/>
      <c r="AQ116" s="36"/>
      <c r="AR116" s="36"/>
      <c r="AS116" s="36"/>
      <c r="AT116" s="36"/>
      <c r="AU116" s="36"/>
      <c r="AV116" s="36"/>
      <c r="AW116" s="36"/>
      <c r="AX116" s="36"/>
      <c r="AY116" s="36"/>
      <c r="AZ116" s="36"/>
      <c r="BA116" s="36"/>
      <c r="BB116" s="36"/>
    </row>
    <row r="117" spans="2:54">
      <c r="B117" s="36"/>
      <c r="D117" s="36"/>
      <c r="F117" s="36"/>
      <c r="H117" s="36"/>
      <c r="I117" s="36"/>
      <c r="J117" s="36"/>
      <c r="K117" s="36"/>
      <c r="L117" s="36"/>
      <c r="M117" s="36"/>
      <c r="N117" s="36"/>
      <c r="O117" s="36"/>
      <c r="P117" s="36"/>
      <c r="Q117" s="36"/>
      <c r="R117" s="36"/>
      <c r="S117" s="36"/>
      <c r="T117" s="36"/>
      <c r="U117" s="36"/>
      <c r="V117" s="36"/>
      <c r="W117" s="36"/>
      <c r="X117" s="36"/>
      <c r="Y117" s="36"/>
      <c r="Z117" s="36"/>
      <c r="AA117" s="36"/>
      <c r="AB117" s="36"/>
      <c r="AC117" s="36"/>
      <c r="AD117" s="36"/>
      <c r="AE117" s="36"/>
      <c r="AF117" s="36"/>
      <c r="AG117" s="36"/>
      <c r="AH117" s="36"/>
      <c r="AI117" s="36"/>
      <c r="AJ117" s="36"/>
      <c r="AK117" s="36"/>
      <c r="AL117" s="36"/>
      <c r="AM117" s="36"/>
      <c r="AN117" s="36"/>
      <c r="AO117" s="36"/>
      <c r="AP117" s="36"/>
      <c r="AQ117" s="36"/>
      <c r="AR117" s="36"/>
      <c r="AS117" s="36"/>
      <c r="AT117" s="36"/>
      <c r="AU117" s="36"/>
      <c r="AV117" s="36"/>
      <c r="AW117" s="36"/>
      <c r="AX117" s="36"/>
      <c r="AY117" s="36"/>
      <c r="AZ117" s="36"/>
      <c r="BA117" s="36"/>
      <c r="BB117" s="36"/>
    </row>
    <row r="118" spans="2:54">
      <c r="B118" s="36"/>
      <c r="D118" s="36"/>
      <c r="F118" s="36"/>
      <c r="H118" s="36"/>
      <c r="I118" s="36"/>
      <c r="J118" s="36"/>
      <c r="K118" s="36"/>
      <c r="L118" s="36"/>
      <c r="M118" s="36"/>
      <c r="N118" s="36"/>
      <c r="O118" s="36"/>
      <c r="P118" s="36"/>
      <c r="Q118" s="36"/>
      <c r="R118" s="36"/>
      <c r="S118" s="36"/>
      <c r="T118" s="36"/>
      <c r="U118" s="36"/>
      <c r="V118" s="36"/>
      <c r="W118" s="36"/>
      <c r="X118" s="36"/>
      <c r="Y118" s="36"/>
      <c r="Z118" s="36"/>
      <c r="AA118" s="36"/>
      <c r="AB118" s="36"/>
      <c r="AC118" s="36"/>
      <c r="AD118" s="36"/>
      <c r="AE118" s="36"/>
      <c r="AF118" s="36"/>
      <c r="AG118" s="36"/>
      <c r="AH118" s="36"/>
      <c r="AI118" s="36"/>
      <c r="AJ118" s="36"/>
      <c r="AK118" s="36"/>
      <c r="AL118" s="36"/>
      <c r="AM118" s="36"/>
      <c r="AN118" s="36"/>
      <c r="AO118" s="36"/>
      <c r="AP118" s="36"/>
      <c r="AQ118" s="36"/>
      <c r="AR118" s="36"/>
      <c r="AS118" s="36"/>
      <c r="AT118" s="36"/>
      <c r="AU118" s="36"/>
      <c r="AV118" s="36"/>
      <c r="AW118" s="36"/>
      <c r="AX118" s="36"/>
      <c r="AY118" s="36"/>
      <c r="AZ118" s="36"/>
      <c r="BA118" s="36"/>
      <c r="BB118" s="36"/>
    </row>
    <row r="119" spans="2:54">
      <c r="B119" s="36"/>
      <c r="D119" s="36"/>
      <c r="F119" s="36"/>
      <c r="H119" s="36"/>
      <c r="I119" s="36"/>
      <c r="J119" s="36"/>
      <c r="K119" s="36"/>
      <c r="L119" s="36"/>
      <c r="M119" s="36"/>
      <c r="N119" s="36"/>
      <c r="O119" s="36"/>
      <c r="P119" s="36"/>
      <c r="Q119" s="36"/>
      <c r="R119" s="36"/>
      <c r="S119" s="36"/>
      <c r="T119" s="36"/>
      <c r="U119" s="36"/>
      <c r="V119" s="36"/>
      <c r="W119" s="36"/>
      <c r="X119" s="36"/>
      <c r="Y119" s="36"/>
      <c r="Z119" s="36"/>
      <c r="AA119" s="36"/>
      <c r="AB119" s="36"/>
      <c r="AC119" s="36"/>
      <c r="AD119" s="36"/>
      <c r="AE119" s="36"/>
      <c r="AF119" s="36"/>
      <c r="AG119" s="36"/>
      <c r="AH119" s="36"/>
      <c r="AI119" s="36"/>
      <c r="AJ119" s="36"/>
      <c r="AK119" s="36"/>
      <c r="AL119" s="36"/>
      <c r="AM119" s="36"/>
      <c r="AN119" s="36"/>
      <c r="AO119" s="36"/>
      <c r="AP119" s="36"/>
      <c r="AQ119" s="36"/>
      <c r="AR119" s="36"/>
      <c r="AS119" s="36"/>
      <c r="AT119" s="36"/>
      <c r="AU119" s="36"/>
      <c r="AV119" s="36"/>
      <c r="AW119" s="36"/>
      <c r="AX119" s="36"/>
      <c r="AY119" s="36"/>
      <c r="AZ119" s="36"/>
      <c r="BA119" s="36"/>
      <c r="BB119" s="36"/>
    </row>
    <row r="120" spans="2:54">
      <c r="B120" s="36"/>
      <c r="D120" s="36"/>
      <c r="F120" s="36"/>
      <c r="H120" s="36"/>
      <c r="I120" s="36"/>
      <c r="J120" s="36"/>
      <c r="K120" s="36"/>
      <c r="L120" s="36"/>
      <c r="M120" s="36"/>
      <c r="N120" s="36"/>
      <c r="O120" s="36"/>
      <c r="P120" s="36"/>
      <c r="Q120" s="36"/>
      <c r="R120" s="36"/>
      <c r="S120" s="36"/>
      <c r="T120" s="36"/>
      <c r="U120" s="36"/>
      <c r="V120" s="36"/>
      <c r="W120" s="36"/>
      <c r="X120" s="36"/>
      <c r="Y120" s="36"/>
      <c r="Z120" s="36"/>
      <c r="AA120" s="36"/>
      <c r="AB120" s="36"/>
      <c r="AC120" s="36"/>
      <c r="AD120" s="36"/>
      <c r="AE120" s="36"/>
      <c r="AF120" s="36"/>
      <c r="AG120" s="36"/>
      <c r="AH120" s="36"/>
      <c r="AI120" s="36"/>
      <c r="AJ120" s="36"/>
      <c r="AK120" s="36"/>
      <c r="AL120" s="36"/>
      <c r="AM120" s="36"/>
      <c r="AN120" s="36"/>
      <c r="AO120" s="36"/>
      <c r="AP120" s="36"/>
      <c r="AQ120" s="36"/>
      <c r="AR120" s="36"/>
      <c r="AS120" s="36"/>
      <c r="AT120" s="36"/>
      <c r="AU120" s="36"/>
      <c r="AV120" s="36"/>
      <c r="AW120" s="36"/>
      <c r="AX120" s="36"/>
      <c r="AY120" s="36"/>
      <c r="AZ120" s="36"/>
      <c r="BA120" s="36"/>
      <c r="BB120" s="36"/>
    </row>
    <row r="121" spans="2:54">
      <c r="B121" s="36"/>
      <c r="D121" s="36"/>
      <c r="F121" s="36"/>
      <c r="H121" s="36"/>
      <c r="I121" s="36"/>
      <c r="J121" s="36"/>
      <c r="K121" s="36"/>
      <c r="L121" s="36"/>
      <c r="M121" s="36"/>
      <c r="N121" s="36"/>
      <c r="O121" s="36"/>
      <c r="P121" s="36"/>
      <c r="Q121" s="36"/>
      <c r="R121" s="36"/>
      <c r="S121" s="36"/>
      <c r="T121" s="36"/>
      <c r="U121" s="36"/>
      <c r="V121" s="36"/>
      <c r="W121" s="36"/>
      <c r="X121" s="36"/>
      <c r="Y121" s="36"/>
      <c r="Z121" s="36"/>
      <c r="AA121" s="36"/>
      <c r="AB121" s="36"/>
      <c r="AC121" s="36"/>
      <c r="AD121" s="36"/>
      <c r="AE121" s="36"/>
      <c r="AF121" s="36"/>
      <c r="AG121" s="36"/>
      <c r="AH121" s="36"/>
      <c r="AI121" s="36"/>
      <c r="AJ121" s="36"/>
      <c r="AK121" s="36"/>
      <c r="AL121" s="36"/>
      <c r="AM121" s="36"/>
      <c r="AN121" s="36"/>
      <c r="AO121" s="36"/>
      <c r="AP121" s="36"/>
      <c r="AQ121" s="36"/>
      <c r="AR121" s="36"/>
      <c r="AS121" s="36"/>
      <c r="AT121" s="36"/>
      <c r="AU121" s="36"/>
      <c r="AV121" s="36"/>
      <c r="AW121" s="36"/>
      <c r="AX121" s="36"/>
      <c r="AY121" s="36"/>
      <c r="AZ121" s="36"/>
      <c r="BA121" s="36"/>
      <c r="BB121" s="36"/>
    </row>
    <row r="122" spans="2:54">
      <c r="B122" s="36"/>
      <c r="D122" s="36"/>
      <c r="F122" s="36"/>
      <c r="H122" s="36"/>
      <c r="I122" s="36"/>
      <c r="J122" s="36"/>
      <c r="K122" s="36"/>
      <c r="L122" s="36"/>
      <c r="M122" s="36"/>
      <c r="N122" s="36"/>
      <c r="O122" s="36"/>
      <c r="P122" s="36"/>
      <c r="Q122" s="36"/>
      <c r="R122" s="36"/>
      <c r="S122" s="36"/>
      <c r="T122" s="36"/>
      <c r="U122" s="36"/>
      <c r="V122" s="36"/>
      <c r="W122" s="36"/>
      <c r="X122" s="36"/>
      <c r="Y122" s="36"/>
      <c r="Z122" s="36"/>
      <c r="AA122" s="36"/>
      <c r="AB122" s="36"/>
      <c r="AC122" s="36"/>
      <c r="AD122" s="36"/>
      <c r="AE122" s="36"/>
      <c r="AF122" s="36"/>
      <c r="AG122" s="36"/>
      <c r="AH122" s="36"/>
      <c r="AI122" s="36"/>
      <c r="AJ122" s="36"/>
      <c r="AK122" s="36"/>
      <c r="AL122" s="36"/>
      <c r="AM122" s="36"/>
      <c r="AN122" s="36"/>
      <c r="AO122" s="36"/>
      <c r="AP122" s="36"/>
      <c r="AQ122" s="36"/>
      <c r="AR122" s="36"/>
      <c r="AS122" s="36"/>
      <c r="AT122" s="36"/>
      <c r="AU122" s="36"/>
      <c r="AV122" s="36"/>
      <c r="AW122" s="36"/>
      <c r="AX122" s="36"/>
      <c r="AY122" s="36"/>
      <c r="AZ122" s="36"/>
      <c r="BA122" s="36"/>
      <c r="BB122" s="36"/>
    </row>
    <row r="123" spans="2:54">
      <c r="B123" s="36"/>
      <c r="D123" s="36"/>
      <c r="F123" s="36"/>
      <c r="H123" s="36"/>
      <c r="I123" s="36"/>
      <c r="J123" s="36"/>
      <c r="K123" s="36"/>
      <c r="L123" s="36"/>
      <c r="M123" s="36"/>
      <c r="N123" s="36"/>
      <c r="O123" s="36"/>
      <c r="P123" s="36"/>
      <c r="Q123" s="36"/>
      <c r="R123" s="36"/>
      <c r="S123" s="36"/>
      <c r="T123" s="36"/>
      <c r="U123" s="36"/>
      <c r="V123" s="36"/>
      <c r="W123" s="36"/>
      <c r="X123" s="36"/>
      <c r="Y123" s="36"/>
      <c r="Z123" s="36"/>
      <c r="AA123" s="36"/>
      <c r="AB123" s="36"/>
      <c r="AC123" s="36"/>
      <c r="AD123" s="36"/>
      <c r="AE123" s="36"/>
      <c r="AF123" s="36"/>
      <c r="AG123" s="36"/>
      <c r="AH123" s="36"/>
      <c r="AI123" s="36"/>
      <c r="AJ123" s="36"/>
      <c r="AK123" s="36"/>
      <c r="AL123" s="36"/>
      <c r="AM123" s="36"/>
      <c r="AN123" s="36"/>
      <c r="AO123" s="36"/>
      <c r="AP123" s="36"/>
      <c r="AQ123" s="36"/>
      <c r="AR123" s="36"/>
      <c r="AS123" s="36"/>
      <c r="AT123" s="36"/>
      <c r="AU123" s="36"/>
      <c r="AV123" s="36"/>
      <c r="AW123" s="36"/>
      <c r="AX123" s="36"/>
      <c r="AY123" s="36"/>
      <c r="AZ123" s="36"/>
      <c r="BA123" s="36"/>
      <c r="BB123" s="36"/>
    </row>
    <row r="124" spans="2:54">
      <c r="B124" s="36"/>
      <c r="D124" s="36"/>
      <c r="F124" s="36"/>
      <c r="H124" s="36"/>
      <c r="I124" s="36"/>
      <c r="J124" s="36"/>
      <c r="K124" s="36"/>
      <c r="L124" s="36"/>
      <c r="M124" s="36"/>
      <c r="N124" s="36"/>
      <c r="O124" s="36"/>
      <c r="P124" s="36"/>
      <c r="Q124" s="36"/>
      <c r="R124" s="36"/>
      <c r="S124" s="36"/>
      <c r="T124" s="36"/>
      <c r="U124" s="36"/>
      <c r="V124" s="36"/>
      <c r="W124" s="36"/>
      <c r="X124" s="36"/>
      <c r="Y124" s="36"/>
      <c r="Z124" s="36"/>
      <c r="AA124" s="36"/>
      <c r="AB124" s="36"/>
      <c r="AC124" s="36"/>
      <c r="AD124" s="36"/>
      <c r="AE124" s="36"/>
      <c r="AF124" s="36"/>
      <c r="AG124" s="36"/>
      <c r="AH124" s="36"/>
      <c r="AI124" s="36"/>
      <c r="AJ124" s="36"/>
      <c r="AK124" s="36"/>
      <c r="AL124" s="36"/>
      <c r="AM124" s="36"/>
      <c r="AN124" s="36"/>
      <c r="AO124" s="36"/>
      <c r="AP124" s="36"/>
      <c r="AQ124" s="36"/>
      <c r="AR124" s="36"/>
      <c r="AS124" s="36"/>
      <c r="AT124" s="36"/>
      <c r="AU124" s="36"/>
      <c r="AV124" s="36"/>
      <c r="AW124" s="36"/>
      <c r="AX124" s="36"/>
      <c r="AY124" s="36"/>
      <c r="AZ124" s="36"/>
      <c r="BA124" s="36"/>
      <c r="BB124" s="36"/>
    </row>
    <row r="125" spans="2:54">
      <c r="B125" s="36"/>
      <c r="D125" s="36"/>
      <c r="F125" s="36"/>
      <c r="H125" s="36"/>
      <c r="I125" s="36"/>
      <c r="J125" s="36"/>
      <c r="K125" s="36"/>
      <c r="L125" s="36"/>
      <c r="M125" s="36"/>
      <c r="N125" s="36"/>
      <c r="O125" s="36"/>
      <c r="P125" s="36"/>
      <c r="Q125" s="36"/>
      <c r="R125" s="36"/>
      <c r="S125" s="36"/>
      <c r="T125" s="36"/>
      <c r="U125" s="36"/>
      <c r="V125" s="36"/>
      <c r="W125" s="36"/>
      <c r="X125" s="36"/>
      <c r="Y125" s="36"/>
      <c r="Z125" s="36"/>
      <c r="AA125" s="36"/>
      <c r="AB125" s="36"/>
      <c r="AC125" s="36"/>
      <c r="AD125" s="36"/>
      <c r="AE125" s="36"/>
      <c r="AF125" s="36"/>
      <c r="AG125" s="36"/>
      <c r="AH125" s="36"/>
      <c r="AI125" s="36"/>
      <c r="AJ125" s="36"/>
      <c r="AK125" s="36"/>
      <c r="AL125" s="36"/>
      <c r="AM125" s="36"/>
      <c r="AN125" s="36"/>
      <c r="AO125" s="36"/>
      <c r="AP125" s="36"/>
      <c r="AQ125" s="36"/>
      <c r="AR125" s="36"/>
      <c r="AS125" s="36"/>
      <c r="AT125" s="36"/>
      <c r="AU125" s="36"/>
      <c r="AV125" s="36"/>
      <c r="AW125" s="36"/>
      <c r="AX125" s="36"/>
      <c r="AY125" s="36"/>
      <c r="AZ125" s="36"/>
      <c r="BA125" s="36"/>
      <c r="BB125" s="36"/>
    </row>
    <row r="126" spans="2:54">
      <c r="B126" s="36"/>
      <c r="D126" s="36"/>
      <c r="F126" s="36"/>
      <c r="H126" s="36"/>
      <c r="I126" s="36"/>
      <c r="J126" s="36"/>
      <c r="K126" s="36"/>
      <c r="L126" s="36"/>
      <c r="M126" s="36"/>
      <c r="N126" s="36"/>
      <c r="O126" s="36"/>
      <c r="P126" s="36"/>
      <c r="Q126" s="36"/>
      <c r="R126" s="36"/>
      <c r="S126" s="36"/>
      <c r="T126" s="36"/>
      <c r="U126" s="36"/>
      <c r="V126" s="36"/>
      <c r="W126" s="36"/>
      <c r="X126" s="36"/>
      <c r="Y126" s="36"/>
      <c r="Z126" s="36"/>
      <c r="AA126" s="36"/>
      <c r="AB126" s="36"/>
      <c r="AC126" s="36"/>
      <c r="AD126" s="36"/>
      <c r="AE126" s="36"/>
      <c r="AF126" s="36"/>
      <c r="AG126" s="36"/>
      <c r="AH126" s="36"/>
      <c r="AI126" s="36"/>
      <c r="AJ126" s="36"/>
      <c r="AK126" s="36"/>
      <c r="AL126" s="36"/>
      <c r="AM126" s="36"/>
      <c r="AN126" s="36"/>
      <c r="AO126" s="36"/>
      <c r="AP126" s="36"/>
      <c r="AQ126" s="36"/>
      <c r="AR126" s="36"/>
      <c r="AS126" s="36"/>
      <c r="AT126" s="36"/>
      <c r="AU126" s="36"/>
      <c r="AV126" s="36"/>
      <c r="AW126" s="36"/>
      <c r="AX126" s="36"/>
      <c r="AY126" s="36"/>
      <c r="AZ126" s="36"/>
      <c r="BA126" s="36"/>
      <c r="BB126" s="36"/>
    </row>
    <row r="127" spans="2:54">
      <c r="B127" s="36"/>
      <c r="D127" s="36"/>
      <c r="F127" s="36"/>
      <c r="H127" s="36"/>
      <c r="I127" s="36"/>
      <c r="J127" s="36"/>
      <c r="K127" s="36"/>
      <c r="L127" s="36"/>
      <c r="M127" s="36"/>
      <c r="N127" s="36"/>
      <c r="O127" s="36"/>
      <c r="P127" s="36"/>
      <c r="Q127" s="36"/>
      <c r="R127" s="36"/>
      <c r="S127" s="36"/>
      <c r="T127" s="36"/>
      <c r="U127" s="36"/>
      <c r="V127" s="36"/>
      <c r="W127" s="36"/>
      <c r="X127" s="36"/>
      <c r="Y127" s="36"/>
      <c r="Z127" s="36"/>
      <c r="AA127" s="36"/>
      <c r="AB127" s="36"/>
      <c r="AC127" s="36"/>
      <c r="AD127" s="36"/>
      <c r="AE127" s="36"/>
      <c r="AF127" s="36"/>
      <c r="AG127" s="36"/>
      <c r="AH127" s="36"/>
      <c r="AI127" s="36"/>
      <c r="AJ127" s="36"/>
      <c r="AK127" s="36"/>
      <c r="AL127" s="36"/>
      <c r="AM127" s="36"/>
      <c r="AN127" s="36"/>
      <c r="AO127" s="36"/>
      <c r="AP127" s="36"/>
      <c r="AQ127" s="36"/>
      <c r="AR127" s="36"/>
      <c r="AS127" s="36"/>
      <c r="AT127" s="36"/>
      <c r="AU127" s="36"/>
      <c r="AV127" s="36"/>
      <c r="AW127" s="36"/>
      <c r="AX127" s="36"/>
      <c r="AY127" s="36"/>
      <c r="AZ127" s="36"/>
      <c r="BA127" s="36"/>
      <c r="BB127" s="36"/>
    </row>
    <row r="128" spans="2:54">
      <c r="B128" s="36"/>
      <c r="D128" s="36"/>
      <c r="F128" s="36"/>
      <c r="H128" s="36"/>
      <c r="I128" s="36"/>
      <c r="J128" s="36"/>
      <c r="K128" s="36"/>
      <c r="L128" s="36"/>
      <c r="M128" s="36"/>
      <c r="N128" s="36"/>
      <c r="O128" s="36"/>
      <c r="P128" s="36"/>
      <c r="Q128" s="36"/>
      <c r="R128" s="36"/>
      <c r="S128" s="36"/>
      <c r="T128" s="36"/>
      <c r="U128" s="36"/>
      <c r="V128" s="36"/>
      <c r="W128" s="36"/>
      <c r="X128" s="36"/>
      <c r="Y128" s="36"/>
      <c r="Z128" s="36"/>
      <c r="AA128" s="36"/>
      <c r="AB128" s="36"/>
      <c r="AC128" s="36"/>
      <c r="AD128" s="36"/>
      <c r="AE128" s="36"/>
      <c r="AF128" s="36"/>
      <c r="AG128" s="36"/>
      <c r="AH128" s="36"/>
      <c r="AI128" s="36"/>
      <c r="AJ128" s="36"/>
      <c r="AK128" s="36"/>
      <c r="AL128" s="36"/>
      <c r="AM128" s="36"/>
      <c r="AN128" s="36"/>
      <c r="AO128" s="36"/>
      <c r="AP128" s="36"/>
      <c r="AQ128" s="36"/>
      <c r="AR128" s="36"/>
      <c r="AS128" s="36"/>
      <c r="AT128" s="36"/>
      <c r="AU128" s="36"/>
      <c r="AV128" s="36"/>
      <c r="AW128" s="36"/>
      <c r="AX128" s="36"/>
      <c r="AY128" s="36"/>
      <c r="AZ128" s="36"/>
      <c r="BA128" s="36"/>
      <c r="BB128" s="36"/>
    </row>
    <row r="129" spans="2:54">
      <c r="B129" s="36"/>
      <c r="D129" s="36"/>
      <c r="F129" s="36"/>
      <c r="H129" s="36"/>
      <c r="I129" s="36"/>
      <c r="J129" s="36"/>
      <c r="K129" s="36"/>
      <c r="L129" s="36"/>
      <c r="M129" s="36"/>
      <c r="N129" s="36"/>
      <c r="O129" s="36"/>
      <c r="P129" s="36"/>
      <c r="Q129" s="36"/>
      <c r="R129" s="36"/>
      <c r="S129" s="36"/>
      <c r="T129" s="36"/>
      <c r="U129" s="36"/>
      <c r="V129" s="36"/>
      <c r="W129" s="36"/>
      <c r="X129" s="36"/>
      <c r="Y129" s="36"/>
      <c r="Z129" s="36"/>
      <c r="AA129" s="36"/>
      <c r="AB129" s="36"/>
      <c r="AC129" s="36"/>
      <c r="AD129" s="36"/>
      <c r="AE129" s="36"/>
      <c r="AF129" s="36"/>
      <c r="AG129" s="36"/>
      <c r="AH129" s="36"/>
      <c r="AI129" s="36"/>
      <c r="AJ129" s="36"/>
      <c r="AK129" s="36"/>
      <c r="AL129" s="36"/>
      <c r="AM129" s="36"/>
      <c r="AN129" s="36"/>
      <c r="AO129" s="36"/>
      <c r="AP129" s="36"/>
      <c r="AQ129" s="36"/>
      <c r="AR129" s="36"/>
      <c r="AS129" s="36"/>
      <c r="AT129" s="36"/>
      <c r="AU129" s="36"/>
      <c r="AV129" s="36"/>
      <c r="AW129" s="36"/>
      <c r="AX129" s="36"/>
      <c r="AY129" s="36"/>
      <c r="AZ129" s="36"/>
      <c r="BA129" s="36"/>
      <c r="BB129" s="36"/>
    </row>
    <row r="130" spans="2:54">
      <c r="B130" s="36"/>
      <c r="D130" s="36"/>
      <c r="F130" s="36"/>
      <c r="H130" s="36"/>
      <c r="I130" s="36"/>
      <c r="J130" s="36"/>
      <c r="K130" s="36"/>
      <c r="L130" s="36"/>
      <c r="M130" s="36"/>
      <c r="N130" s="36"/>
      <c r="O130" s="36"/>
      <c r="P130" s="36"/>
      <c r="Q130" s="36"/>
      <c r="R130" s="36"/>
      <c r="S130" s="36"/>
      <c r="T130" s="36"/>
      <c r="U130" s="36"/>
      <c r="V130" s="36"/>
      <c r="W130" s="36"/>
      <c r="X130" s="36"/>
      <c r="Y130" s="36"/>
      <c r="Z130" s="36"/>
      <c r="AA130" s="36"/>
      <c r="AB130" s="36"/>
      <c r="AC130" s="36"/>
      <c r="AD130" s="36"/>
      <c r="AE130" s="36"/>
      <c r="AF130" s="36"/>
      <c r="AG130" s="36"/>
      <c r="AH130" s="36"/>
      <c r="AI130" s="36"/>
      <c r="AJ130" s="36"/>
      <c r="AK130" s="36"/>
      <c r="AL130" s="36"/>
      <c r="AM130" s="36"/>
      <c r="AN130" s="36"/>
      <c r="AO130" s="36"/>
      <c r="AP130" s="36"/>
      <c r="AQ130" s="36"/>
      <c r="AR130" s="36"/>
      <c r="AS130" s="36"/>
      <c r="AT130" s="36"/>
      <c r="AU130" s="36"/>
      <c r="AV130" s="36"/>
      <c r="AW130" s="36"/>
      <c r="AX130" s="36"/>
      <c r="AY130" s="36"/>
      <c r="AZ130" s="36"/>
      <c r="BA130" s="36"/>
      <c r="BB130" s="36"/>
    </row>
    <row r="131" spans="2:54">
      <c r="B131" s="36"/>
      <c r="D131" s="36"/>
      <c r="F131" s="36"/>
      <c r="H131" s="36"/>
      <c r="I131" s="36"/>
      <c r="J131" s="36"/>
      <c r="K131" s="36"/>
      <c r="L131" s="36"/>
      <c r="M131" s="36"/>
      <c r="N131" s="36"/>
      <c r="O131" s="36"/>
      <c r="P131" s="36"/>
      <c r="Q131" s="36"/>
      <c r="R131" s="36"/>
      <c r="S131" s="36"/>
      <c r="T131" s="36"/>
      <c r="U131" s="36"/>
      <c r="V131" s="36"/>
      <c r="W131" s="36"/>
      <c r="X131" s="36"/>
      <c r="Y131" s="36"/>
      <c r="Z131" s="36"/>
      <c r="AA131" s="36"/>
      <c r="AB131" s="36"/>
      <c r="AC131" s="36"/>
      <c r="AD131" s="36"/>
      <c r="AE131" s="36"/>
      <c r="AF131" s="36"/>
      <c r="AG131" s="36"/>
      <c r="AH131" s="36"/>
      <c r="AI131" s="36"/>
      <c r="AJ131" s="36"/>
      <c r="AK131" s="36"/>
      <c r="AL131" s="36"/>
      <c r="AM131" s="36"/>
      <c r="AN131" s="36"/>
      <c r="AO131" s="36"/>
      <c r="AP131" s="36"/>
      <c r="AQ131" s="36"/>
      <c r="AR131" s="36"/>
      <c r="AS131" s="36"/>
      <c r="AT131" s="36"/>
      <c r="AU131" s="36"/>
      <c r="AV131" s="36"/>
      <c r="AW131" s="36"/>
      <c r="AX131" s="36"/>
      <c r="AY131" s="36"/>
      <c r="AZ131" s="36"/>
      <c r="BA131" s="36"/>
      <c r="BB131" s="36"/>
    </row>
    <row r="132" spans="2:54">
      <c r="B132" s="36"/>
      <c r="D132" s="36"/>
      <c r="F132" s="36"/>
      <c r="H132" s="36"/>
      <c r="I132" s="36"/>
      <c r="J132" s="36"/>
      <c r="K132" s="36"/>
      <c r="L132" s="36"/>
      <c r="M132" s="36"/>
      <c r="N132" s="36"/>
      <c r="O132" s="36"/>
      <c r="P132" s="36"/>
      <c r="Q132" s="36"/>
      <c r="R132" s="36"/>
      <c r="S132" s="36"/>
      <c r="T132" s="36"/>
      <c r="U132" s="36"/>
      <c r="V132" s="36"/>
      <c r="W132" s="36"/>
      <c r="X132" s="36"/>
      <c r="Y132" s="36"/>
      <c r="Z132" s="36"/>
      <c r="AA132" s="36"/>
      <c r="AB132" s="36"/>
      <c r="AC132" s="36"/>
      <c r="AD132" s="36"/>
      <c r="AE132" s="36"/>
      <c r="AF132" s="36"/>
      <c r="AG132" s="36"/>
      <c r="AH132" s="36"/>
      <c r="AI132" s="36"/>
      <c r="AJ132" s="36"/>
      <c r="AK132" s="36"/>
      <c r="AL132" s="36"/>
      <c r="AM132" s="36"/>
      <c r="AN132" s="36"/>
      <c r="AO132" s="36"/>
      <c r="AP132" s="36"/>
      <c r="AQ132" s="36"/>
      <c r="AR132" s="36"/>
      <c r="AS132" s="36"/>
      <c r="AT132" s="36"/>
      <c r="AU132" s="36"/>
      <c r="AV132" s="36"/>
      <c r="AW132" s="36"/>
      <c r="AX132" s="36"/>
      <c r="AY132" s="36"/>
      <c r="AZ132" s="36"/>
      <c r="BA132" s="36"/>
      <c r="BB132" s="36"/>
    </row>
    <row r="133" spans="2:54">
      <c r="B133" s="36"/>
      <c r="D133" s="36"/>
      <c r="F133" s="36"/>
      <c r="H133" s="36"/>
      <c r="I133" s="36"/>
      <c r="J133" s="36"/>
      <c r="K133" s="36"/>
      <c r="L133" s="36"/>
      <c r="M133" s="36"/>
      <c r="N133" s="36"/>
      <c r="O133" s="36"/>
      <c r="P133" s="36"/>
      <c r="Q133" s="36"/>
      <c r="R133" s="36"/>
      <c r="S133" s="36"/>
      <c r="T133" s="36"/>
      <c r="U133" s="36"/>
      <c r="V133" s="36"/>
      <c r="W133" s="36"/>
      <c r="X133" s="36"/>
      <c r="Y133" s="36"/>
      <c r="Z133" s="36"/>
      <c r="AA133" s="36"/>
      <c r="AB133" s="36"/>
      <c r="AC133" s="36"/>
      <c r="AD133" s="36"/>
      <c r="AE133" s="36"/>
      <c r="AF133" s="36"/>
      <c r="AG133" s="36"/>
      <c r="AH133" s="36"/>
      <c r="AI133" s="36"/>
      <c r="AJ133" s="36"/>
      <c r="AK133" s="36"/>
      <c r="AL133" s="36"/>
      <c r="AM133" s="36"/>
      <c r="AN133" s="36"/>
      <c r="AO133" s="36"/>
      <c r="AP133" s="36"/>
      <c r="AQ133" s="36"/>
      <c r="AR133" s="36"/>
      <c r="AS133" s="36"/>
      <c r="AT133" s="36"/>
      <c r="AU133" s="36"/>
      <c r="AV133" s="36"/>
      <c r="AW133" s="36"/>
      <c r="AX133" s="36"/>
      <c r="AY133" s="36"/>
      <c r="AZ133" s="36"/>
      <c r="BA133" s="36"/>
      <c r="BB133" s="36"/>
    </row>
    <row r="134" spans="2:54">
      <c r="B134" s="36"/>
      <c r="D134" s="36"/>
      <c r="F134" s="36"/>
      <c r="H134" s="36"/>
      <c r="I134" s="36"/>
      <c r="J134" s="36"/>
      <c r="K134" s="36"/>
      <c r="L134" s="36"/>
      <c r="M134" s="36"/>
      <c r="N134" s="36"/>
      <c r="O134" s="36"/>
      <c r="P134" s="36"/>
      <c r="Q134" s="36"/>
      <c r="R134" s="36"/>
      <c r="S134" s="36"/>
      <c r="T134" s="36"/>
      <c r="U134" s="36"/>
      <c r="V134" s="36"/>
      <c r="W134" s="36"/>
      <c r="X134" s="36"/>
      <c r="Y134" s="36"/>
      <c r="Z134" s="36"/>
      <c r="AA134" s="36"/>
      <c r="AB134" s="36"/>
      <c r="AC134" s="36"/>
      <c r="AD134" s="36"/>
      <c r="AE134" s="36"/>
      <c r="AF134" s="36"/>
      <c r="AG134" s="36"/>
      <c r="AH134" s="36"/>
      <c r="AI134" s="36"/>
      <c r="AJ134" s="36"/>
      <c r="AK134" s="36"/>
      <c r="AL134" s="36"/>
      <c r="AM134" s="36"/>
      <c r="AN134" s="36"/>
      <c r="AO134" s="36"/>
      <c r="AP134" s="36"/>
      <c r="AQ134" s="36"/>
      <c r="AR134" s="36"/>
      <c r="AS134" s="36"/>
      <c r="AT134" s="36"/>
      <c r="AU134" s="36"/>
      <c r="AV134" s="36"/>
      <c r="AW134" s="36"/>
      <c r="AX134" s="36"/>
      <c r="AY134" s="36"/>
      <c r="AZ134" s="36"/>
      <c r="BA134" s="36"/>
      <c r="BB134" s="36"/>
    </row>
    <row r="135" spans="2:54">
      <c r="B135" s="36"/>
      <c r="D135" s="36"/>
      <c r="F135" s="36"/>
      <c r="H135" s="36"/>
      <c r="I135" s="36"/>
      <c r="J135" s="36"/>
      <c r="K135" s="36"/>
      <c r="L135" s="36"/>
      <c r="M135" s="36"/>
      <c r="N135" s="36"/>
      <c r="O135" s="36"/>
      <c r="P135" s="36"/>
      <c r="Q135" s="36"/>
      <c r="R135" s="36"/>
      <c r="S135" s="36"/>
      <c r="T135" s="36"/>
      <c r="U135" s="36"/>
      <c r="V135" s="36"/>
      <c r="W135" s="36"/>
      <c r="X135" s="36"/>
      <c r="Y135" s="36"/>
      <c r="Z135" s="36"/>
      <c r="AA135" s="36"/>
      <c r="AB135" s="36"/>
      <c r="AC135" s="36"/>
      <c r="AD135" s="36"/>
      <c r="AE135" s="36"/>
      <c r="AF135" s="36"/>
      <c r="AG135" s="36"/>
      <c r="AH135" s="36"/>
      <c r="AI135" s="36"/>
      <c r="AJ135" s="36"/>
      <c r="AK135" s="36"/>
      <c r="AL135" s="36"/>
      <c r="AM135" s="36"/>
      <c r="AN135" s="36"/>
      <c r="AO135" s="36"/>
      <c r="AP135" s="36"/>
      <c r="AQ135" s="36"/>
      <c r="AR135" s="36"/>
      <c r="AS135" s="36"/>
      <c r="AT135" s="36"/>
      <c r="AU135" s="36"/>
      <c r="AV135" s="36"/>
      <c r="AW135" s="36"/>
      <c r="AX135" s="36"/>
      <c r="AY135" s="36"/>
      <c r="AZ135" s="36"/>
      <c r="BA135" s="36"/>
      <c r="BB135" s="36"/>
    </row>
    <row r="136" spans="2:54">
      <c r="B136" s="36"/>
      <c r="D136" s="36"/>
      <c r="F136" s="36"/>
      <c r="H136" s="36"/>
      <c r="I136" s="36"/>
      <c r="J136" s="36"/>
      <c r="K136" s="36"/>
      <c r="L136" s="36"/>
      <c r="M136" s="36"/>
      <c r="N136" s="36"/>
      <c r="O136" s="36"/>
      <c r="P136" s="36"/>
      <c r="Q136" s="36"/>
      <c r="R136" s="36"/>
      <c r="S136" s="36"/>
      <c r="T136" s="36"/>
      <c r="U136" s="36"/>
      <c r="V136" s="36"/>
      <c r="W136" s="36"/>
      <c r="X136" s="36"/>
      <c r="Y136" s="36"/>
      <c r="Z136" s="36"/>
      <c r="AA136" s="36"/>
      <c r="AB136" s="36"/>
      <c r="AC136" s="36"/>
      <c r="AD136" s="36"/>
      <c r="AE136" s="36"/>
      <c r="AF136" s="36"/>
      <c r="AG136" s="36"/>
      <c r="AH136" s="36"/>
      <c r="AI136" s="36"/>
      <c r="AJ136" s="36"/>
      <c r="AK136" s="36"/>
      <c r="AL136" s="36"/>
      <c r="AM136" s="36"/>
      <c r="AN136" s="36"/>
      <c r="AO136" s="36"/>
      <c r="AP136" s="36"/>
      <c r="AQ136" s="36"/>
      <c r="AR136" s="36"/>
      <c r="AS136" s="36"/>
      <c r="AT136" s="36"/>
      <c r="AU136" s="36"/>
      <c r="AV136" s="36"/>
      <c r="AW136" s="36"/>
      <c r="AX136" s="36"/>
      <c r="AY136" s="36"/>
      <c r="AZ136" s="36"/>
      <c r="BA136" s="36"/>
      <c r="BB136" s="36"/>
    </row>
    <row r="137" spans="2:54">
      <c r="B137" s="36"/>
      <c r="D137" s="36"/>
      <c r="F137" s="36"/>
      <c r="H137" s="36"/>
      <c r="I137" s="36"/>
      <c r="J137" s="36"/>
      <c r="K137" s="36"/>
      <c r="L137" s="36"/>
      <c r="M137" s="36"/>
      <c r="N137" s="36"/>
      <c r="O137" s="36"/>
      <c r="P137" s="36"/>
      <c r="Q137" s="36"/>
      <c r="R137" s="36"/>
      <c r="S137" s="36"/>
      <c r="T137" s="36"/>
      <c r="U137" s="36"/>
      <c r="V137" s="36"/>
      <c r="W137" s="36"/>
      <c r="X137" s="36"/>
      <c r="Y137" s="36"/>
      <c r="Z137" s="36"/>
      <c r="AA137" s="36"/>
      <c r="AB137" s="36"/>
      <c r="AC137" s="36"/>
      <c r="AD137" s="36"/>
      <c r="AE137" s="36"/>
      <c r="AF137" s="36"/>
      <c r="AG137" s="36"/>
      <c r="AH137" s="36"/>
      <c r="AI137" s="36"/>
      <c r="AJ137" s="36"/>
      <c r="AK137" s="36"/>
      <c r="AL137" s="36"/>
      <c r="AM137" s="36"/>
      <c r="AN137" s="36"/>
      <c r="AO137" s="36"/>
      <c r="AP137" s="36"/>
      <c r="AQ137" s="36"/>
      <c r="AR137" s="36"/>
      <c r="AS137" s="36"/>
      <c r="AT137" s="36"/>
      <c r="AU137" s="36"/>
      <c r="AV137" s="36"/>
      <c r="AW137" s="36"/>
      <c r="AX137" s="36"/>
      <c r="AY137" s="36"/>
      <c r="AZ137" s="36"/>
      <c r="BA137" s="36"/>
      <c r="BB137" s="36"/>
    </row>
    <row r="138" spans="2:54">
      <c r="B138" s="36"/>
      <c r="D138" s="36"/>
      <c r="F138" s="36"/>
      <c r="H138" s="36"/>
      <c r="I138" s="36"/>
      <c r="J138" s="36"/>
      <c r="K138" s="36"/>
      <c r="L138" s="36"/>
      <c r="M138" s="36"/>
      <c r="N138" s="36"/>
      <c r="O138" s="36"/>
      <c r="P138" s="36"/>
      <c r="Q138" s="36"/>
      <c r="R138" s="36"/>
      <c r="S138" s="36"/>
      <c r="T138" s="36"/>
      <c r="U138" s="36"/>
      <c r="V138" s="36"/>
      <c r="W138" s="36"/>
      <c r="X138" s="36"/>
      <c r="Y138" s="36"/>
      <c r="Z138" s="36"/>
      <c r="AA138" s="36"/>
      <c r="AB138" s="36"/>
      <c r="AC138" s="36"/>
      <c r="AD138" s="36"/>
      <c r="AE138" s="36"/>
      <c r="AF138" s="36"/>
      <c r="AG138" s="36"/>
      <c r="AH138" s="36"/>
      <c r="AI138" s="36"/>
      <c r="AJ138" s="36"/>
      <c r="AK138" s="36"/>
      <c r="AL138" s="36"/>
      <c r="AM138" s="36"/>
      <c r="AN138" s="36"/>
      <c r="AO138" s="36"/>
      <c r="AP138" s="36"/>
      <c r="AQ138" s="36"/>
      <c r="AR138" s="36"/>
      <c r="AS138" s="36"/>
      <c r="AT138" s="36"/>
      <c r="AU138" s="36"/>
      <c r="AV138" s="36"/>
      <c r="AW138" s="36"/>
      <c r="AX138" s="36"/>
      <c r="AY138" s="36"/>
      <c r="AZ138" s="36"/>
      <c r="BA138" s="36"/>
      <c r="BB138" s="36"/>
    </row>
    <row r="139" spans="2:54">
      <c r="B139" s="36"/>
      <c r="D139" s="36"/>
      <c r="F139" s="36"/>
      <c r="H139" s="36"/>
      <c r="I139" s="36"/>
      <c r="J139" s="36"/>
      <c r="K139" s="36"/>
      <c r="L139" s="36"/>
      <c r="M139" s="36"/>
      <c r="N139" s="36"/>
      <c r="O139" s="36"/>
      <c r="P139" s="36"/>
      <c r="Q139" s="36"/>
      <c r="R139" s="36"/>
      <c r="S139" s="36"/>
      <c r="T139" s="36"/>
      <c r="U139" s="36"/>
      <c r="V139" s="36"/>
      <c r="W139" s="36"/>
      <c r="X139" s="36"/>
      <c r="Y139" s="36"/>
      <c r="Z139" s="36"/>
      <c r="AA139" s="36"/>
      <c r="AB139" s="36"/>
      <c r="AC139" s="36"/>
      <c r="AD139" s="36"/>
      <c r="AE139" s="36"/>
      <c r="AF139" s="36"/>
      <c r="AG139" s="36"/>
      <c r="AH139" s="36"/>
      <c r="AI139" s="36"/>
      <c r="AJ139" s="36"/>
      <c r="AK139" s="36"/>
      <c r="AL139" s="36"/>
      <c r="AM139" s="36"/>
      <c r="AN139" s="36"/>
      <c r="AO139" s="36"/>
      <c r="AP139" s="36"/>
      <c r="AQ139" s="36"/>
      <c r="AR139" s="36"/>
      <c r="AS139" s="36"/>
      <c r="AT139" s="36"/>
      <c r="AU139" s="36"/>
      <c r="AV139" s="36"/>
      <c r="AW139" s="36"/>
      <c r="AX139" s="36"/>
      <c r="AY139" s="36"/>
      <c r="AZ139" s="36"/>
      <c r="BA139" s="36"/>
      <c r="BB139" s="36"/>
    </row>
    <row r="140" spans="2:54">
      <c r="B140" s="36"/>
      <c r="D140" s="36"/>
      <c r="F140" s="36"/>
      <c r="H140" s="36"/>
      <c r="I140" s="36"/>
      <c r="J140" s="36"/>
      <c r="K140" s="36"/>
      <c r="L140" s="36"/>
      <c r="M140" s="36"/>
      <c r="N140" s="36"/>
      <c r="O140" s="36"/>
      <c r="P140" s="36"/>
      <c r="Q140" s="36"/>
      <c r="R140" s="36"/>
      <c r="S140" s="36"/>
      <c r="T140" s="36"/>
      <c r="U140" s="36"/>
      <c r="V140" s="36"/>
      <c r="W140" s="36"/>
      <c r="X140" s="36"/>
      <c r="Y140" s="36"/>
      <c r="Z140" s="36"/>
      <c r="AA140" s="36"/>
      <c r="AB140" s="36"/>
      <c r="AC140" s="36"/>
      <c r="AD140" s="36"/>
      <c r="AE140" s="36"/>
      <c r="AF140" s="36"/>
      <c r="AG140" s="36"/>
      <c r="AH140" s="36"/>
      <c r="AI140" s="36"/>
      <c r="AJ140" s="36"/>
      <c r="AK140" s="36"/>
      <c r="AL140" s="36"/>
      <c r="AM140" s="36"/>
      <c r="AN140" s="36"/>
      <c r="AO140" s="36"/>
      <c r="AP140" s="36"/>
      <c r="AQ140" s="36"/>
      <c r="AR140" s="36"/>
      <c r="AS140" s="36"/>
      <c r="AT140" s="36"/>
      <c r="AU140" s="36"/>
      <c r="AV140" s="36"/>
      <c r="AW140" s="36"/>
      <c r="AX140" s="36"/>
      <c r="AY140" s="36"/>
      <c r="AZ140" s="36"/>
      <c r="BA140" s="36"/>
      <c r="BB140" s="36"/>
    </row>
    <row r="141" spans="2:54">
      <c r="B141" s="36"/>
      <c r="D141" s="36"/>
      <c r="F141" s="36"/>
      <c r="H141" s="36"/>
      <c r="I141" s="36"/>
      <c r="J141" s="36"/>
      <c r="K141" s="36"/>
      <c r="L141" s="36"/>
      <c r="M141" s="36"/>
      <c r="N141" s="36"/>
      <c r="O141" s="36"/>
      <c r="P141" s="36"/>
      <c r="Q141" s="36"/>
      <c r="R141" s="36"/>
      <c r="S141" s="36"/>
      <c r="T141" s="36"/>
      <c r="U141" s="36"/>
      <c r="V141" s="36"/>
      <c r="W141" s="36"/>
      <c r="X141" s="36"/>
      <c r="Y141" s="36"/>
      <c r="Z141" s="36"/>
      <c r="AA141" s="36"/>
      <c r="AB141" s="36"/>
      <c r="AC141" s="36"/>
      <c r="AD141" s="36"/>
      <c r="AE141" s="36"/>
      <c r="AF141" s="36"/>
      <c r="AG141" s="36"/>
      <c r="AH141" s="36"/>
      <c r="AI141" s="36"/>
      <c r="AJ141" s="36"/>
      <c r="AK141" s="36"/>
      <c r="AL141" s="36"/>
      <c r="AM141" s="36"/>
      <c r="AN141" s="36"/>
      <c r="AO141" s="36"/>
      <c r="AP141" s="36"/>
      <c r="AQ141" s="36"/>
      <c r="AR141" s="36"/>
      <c r="AS141" s="36"/>
      <c r="AT141" s="36"/>
      <c r="AU141" s="36"/>
      <c r="AV141" s="36"/>
      <c r="AW141" s="36"/>
      <c r="AX141" s="36"/>
      <c r="AY141" s="36"/>
      <c r="AZ141" s="36"/>
      <c r="BA141" s="36"/>
      <c r="BB141" s="36"/>
    </row>
    <row r="142" spans="2:54">
      <c r="B142" s="36"/>
      <c r="D142" s="36"/>
      <c r="F142" s="36"/>
      <c r="H142" s="36"/>
      <c r="I142" s="36"/>
      <c r="J142" s="36"/>
      <c r="K142" s="36"/>
      <c r="L142" s="36"/>
      <c r="M142" s="36"/>
      <c r="N142" s="36"/>
      <c r="O142" s="36"/>
      <c r="P142" s="36"/>
      <c r="Q142" s="36"/>
      <c r="R142" s="36"/>
      <c r="S142" s="36"/>
      <c r="T142" s="36"/>
      <c r="U142" s="36"/>
      <c r="V142" s="36"/>
      <c r="W142" s="36"/>
      <c r="X142" s="36"/>
      <c r="Y142" s="36"/>
      <c r="Z142" s="36"/>
      <c r="AA142" s="36"/>
      <c r="AB142" s="36"/>
      <c r="AC142" s="36"/>
      <c r="AD142" s="36"/>
      <c r="AE142" s="36"/>
      <c r="AF142" s="36"/>
      <c r="AG142" s="36"/>
      <c r="AH142" s="36"/>
      <c r="AI142" s="36"/>
      <c r="AJ142" s="36"/>
      <c r="AK142" s="36"/>
      <c r="AL142" s="36"/>
      <c r="AM142" s="36"/>
      <c r="AN142" s="36"/>
      <c r="AO142" s="36"/>
      <c r="AP142" s="36"/>
      <c r="AQ142" s="36"/>
      <c r="AR142" s="36"/>
      <c r="AS142" s="36"/>
      <c r="AT142" s="36"/>
      <c r="AU142" s="36"/>
      <c r="AV142" s="36"/>
      <c r="AW142" s="36"/>
      <c r="AX142" s="36"/>
      <c r="AY142" s="36"/>
      <c r="AZ142" s="36"/>
      <c r="BA142" s="36"/>
      <c r="BB142" s="36"/>
    </row>
    <row r="143" spans="2:54">
      <c r="B143" s="36"/>
      <c r="D143" s="36"/>
      <c r="F143" s="36"/>
      <c r="H143" s="36"/>
      <c r="I143" s="36"/>
      <c r="J143" s="36"/>
      <c r="K143" s="36"/>
      <c r="L143" s="36"/>
      <c r="M143" s="36"/>
      <c r="N143" s="36"/>
      <c r="O143" s="36"/>
      <c r="P143" s="36"/>
      <c r="Q143" s="36"/>
      <c r="R143" s="36"/>
      <c r="S143" s="36"/>
      <c r="T143" s="36"/>
      <c r="U143" s="36"/>
      <c r="V143" s="36"/>
      <c r="W143" s="36"/>
      <c r="X143" s="36"/>
      <c r="Y143" s="36"/>
      <c r="Z143" s="36"/>
      <c r="AA143" s="36"/>
      <c r="AB143" s="36"/>
      <c r="AC143" s="36"/>
      <c r="AD143" s="36"/>
      <c r="AE143" s="36"/>
      <c r="AF143" s="36"/>
      <c r="AG143" s="36"/>
      <c r="AH143" s="36"/>
      <c r="AI143" s="36"/>
      <c r="AJ143" s="36"/>
      <c r="AK143" s="36"/>
      <c r="AL143" s="36"/>
      <c r="AM143" s="36"/>
      <c r="AN143" s="36"/>
      <c r="AO143" s="36"/>
      <c r="AP143" s="36"/>
      <c r="AQ143" s="36"/>
      <c r="AR143" s="36"/>
      <c r="AS143" s="36"/>
      <c r="AT143" s="36"/>
      <c r="AU143" s="36"/>
      <c r="AV143" s="36"/>
      <c r="AW143" s="36"/>
      <c r="AX143" s="36"/>
      <c r="AY143" s="36"/>
      <c r="AZ143" s="36"/>
      <c r="BA143" s="36"/>
      <c r="BB143" s="36"/>
    </row>
    <row r="144" spans="2:54">
      <c r="B144" s="36"/>
      <c r="D144" s="36"/>
      <c r="F144" s="36"/>
      <c r="H144" s="36"/>
      <c r="I144" s="36"/>
      <c r="J144" s="36"/>
      <c r="K144" s="36"/>
      <c r="L144" s="36"/>
      <c r="M144" s="36"/>
      <c r="N144" s="36"/>
      <c r="O144" s="36"/>
      <c r="P144" s="36"/>
      <c r="Q144" s="36"/>
      <c r="R144" s="36"/>
      <c r="S144" s="36"/>
      <c r="T144" s="36"/>
      <c r="U144" s="36"/>
      <c r="V144" s="36"/>
      <c r="W144" s="36"/>
      <c r="X144" s="36"/>
      <c r="Y144" s="36"/>
      <c r="Z144" s="36"/>
      <c r="AA144" s="36"/>
      <c r="AB144" s="36"/>
      <c r="AC144" s="36"/>
      <c r="AD144" s="36"/>
      <c r="AE144" s="36"/>
      <c r="AF144" s="36"/>
      <c r="AG144" s="36"/>
      <c r="AH144" s="36"/>
      <c r="AI144" s="36"/>
      <c r="AJ144" s="36"/>
      <c r="AK144" s="36"/>
      <c r="AL144" s="36"/>
      <c r="AM144" s="36"/>
      <c r="AN144" s="36"/>
      <c r="AO144" s="36"/>
      <c r="AP144" s="36"/>
      <c r="AQ144" s="36"/>
      <c r="AR144" s="36"/>
      <c r="AS144" s="36"/>
      <c r="AT144" s="36"/>
      <c r="AU144" s="36"/>
      <c r="AV144" s="36"/>
      <c r="AW144" s="36"/>
      <c r="AX144" s="36"/>
      <c r="AY144" s="36"/>
      <c r="AZ144" s="36"/>
      <c r="BA144" s="36"/>
      <c r="BB144" s="36"/>
    </row>
    <row r="145" spans="2:54">
      <c r="B145" s="36"/>
      <c r="D145" s="36"/>
      <c r="F145" s="36"/>
      <c r="H145" s="36"/>
      <c r="I145" s="36"/>
      <c r="J145" s="36"/>
      <c r="K145" s="36"/>
      <c r="L145" s="36"/>
      <c r="M145" s="36"/>
      <c r="N145" s="36"/>
      <c r="O145" s="36"/>
      <c r="P145" s="36"/>
      <c r="Q145" s="36"/>
      <c r="R145" s="36"/>
      <c r="S145" s="36"/>
      <c r="T145" s="36"/>
      <c r="U145" s="36"/>
      <c r="V145" s="36"/>
      <c r="W145" s="36"/>
      <c r="X145" s="36"/>
      <c r="Y145" s="36"/>
      <c r="Z145" s="36"/>
      <c r="AA145" s="36"/>
      <c r="AB145" s="36"/>
      <c r="AC145" s="36"/>
      <c r="AD145" s="36"/>
      <c r="AE145" s="36"/>
      <c r="AF145" s="36"/>
      <c r="AG145" s="36"/>
      <c r="AH145" s="36"/>
      <c r="AI145" s="36"/>
      <c r="AJ145" s="36"/>
      <c r="AK145" s="36"/>
      <c r="AL145" s="36"/>
      <c r="AM145" s="36"/>
      <c r="AN145" s="36"/>
      <c r="AO145" s="36"/>
      <c r="AP145" s="36"/>
      <c r="AQ145" s="36"/>
      <c r="AR145" s="36"/>
      <c r="AS145" s="36"/>
      <c r="AT145" s="36"/>
      <c r="AU145" s="36"/>
      <c r="AV145" s="36"/>
      <c r="AW145" s="36"/>
      <c r="AX145" s="36"/>
      <c r="AY145" s="36"/>
      <c r="AZ145" s="36"/>
      <c r="BA145" s="36"/>
      <c r="BB145" s="36"/>
    </row>
    <row r="146" spans="2:54">
      <c r="B146" s="36"/>
      <c r="D146" s="36"/>
      <c r="F146" s="36"/>
      <c r="H146" s="36"/>
      <c r="I146" s="36"/>
      <c r="J146" s="36"/>
      <c r="K146" s="36"/>
      <c r="L146" s="36"/>
      <c r="M146" s="36"/>
      <c r="N146" s="36"/>
      <c r="O146" s="36"/>
      <c r="P146" s="36"/>
      <c r="Q146" s="36"/>
      <c r="R146" s="36"/>
      <c r="S146" s="36"/>
      <c r="T146" s="36"/>
      <c r="U146" s="36"/>
      <c r="V146" s="36"/>
      <c r="W146" s="36"/>
      <c r="X146" s="36"/>
      <c r="Y146" s="36"/>
      <c r="Z146" s="36"/>
      <c r="AA146" s="36"/>
      <c r="AB146" s="36"/>
      <c r="AC146" s="36"/>
      <c r="AD146" s="36"/>
      <c r="AE146" s="36"/>
      <c r="AF146" s="36"/>
      <c r="AG146" s="36"/>
      <c r="AH146" s="36"/>
      <c r="AI146" s="36"/>
      <c r="AJ146" s="36"/>
      <c r="AK146" s="36"/>
      <c r="AL146" s="36"/>
      <c r="AM146" s="36"/>
      <c r="AN146" s="36"/>
      <c r="AO146" s="36"/>
      <c r="AP146" s="36"/>
      <c r="AQ146" s="36"/>
      <c r="AR146" s="36"/>
      <c r="AS146" s="36"/>
      <c r="AT146" s="36"/>
      <c r="AU146" s="36"/>
      <c r="AV146" s="36"/>
      <c r="AW146" s="36"/>
      <c r="AX146" s="36"/>
      <c r="AY146" s="36"/>
      <c r="AZ146" s="36"/>
      <c r="BA146" s="36"/>
      <c r="BB146" s="36"/>
    </row>
    <row r="147" spans="2:54">
      <c r="B147" s="36"/>
      <c r="D147" s="36"/>
      <c r="F147" s="36"/>
      <c r="H147" s="36"/>
      <c r="I147" s="36"/>
      <c r="J147" s="36"/>
      <c r="K147" s="36"/>
      <c r="L147" s="36"/>
      <c r="M147" s="36"/>
      <c r="N147" s="36"/>
      <c r="O147" s="36"/>
      <c r="P147" s="36"/>
      <c r="Q147" s="36"/>
      <c r="R147" s="36"/>
      <c r="S147" s="36"/>
      <c r="T147" s="36"/>
      <c r="U147" s="36"/>
      <c r="V147" s="36"/>
      <c r="W147" s="36"/>
      <c r="X147" s="36"/>
      <c r="Y147" s="36"/>
      <c r="Z147" s="36"/>
      <c r="AA147" s="36"/>
      <c r="AB147" s="36"/>
      <c r="AC147" s="36"/>
      <c r="AD147" s="36"/>
      <c r="AE147" s="36"/>
      <c r="AF147" s="36"/>
      <c r="AG147" s="36"/>
      <c r="AH147" s="36"/>
      <c r="AI147" s="36"/>
      <c r="AJ147" s="36"/>
      <c r="AK147" s="36"/>
      <c r="AL147" s="36"/>
      <c r="AM147" s="36"/>
      <c r="AN147" s="36"/>
      <c r="AO147" s="36"/>
      <c r="AP147" s="36"/>
      <c r="AQ147" s="36"/>
      <c r="AR147" s="36"/>
      <c r="AS147" s="36"/>
      <c r="AT147" s="36"/>
      <c r="AU147" s="36"/>
      <c r="AV147" s="36"/>
      <c r="AW147" s="36"/>
      <c r="AX147" s="36"/>
      <c r="AY147" s="36"/>
      <c r="AZ147" s="36"/>
      <c r="BA147" s="36"/>
      <c r="BB147" s="36"/>
    </row>
    <row r="148" spans="2:54">
      <c r="B148" s="36"/>
      <c r="D148" s="36"/>
      <c r="F148" s="36"/>
      <c r="H148" s="36"/>
      <c r="I148" s="36"/>
      <c r="J148" s="36"/>
      <c r="K148" s="36"/>
      <c r="L148" s="36"/>
      <c r="M148" s="36"/>
      <c r="N148" s="36"/>
      <c r="O148" s="36"/>
      <c r="P148" s="36"/>
      <c r="Q148" s="36"/>
      <c r="R148" s="36"/>
      <c r="S148" s="36"/>
      <c r="T148" s="36"/>
      <c r="U148" s="36"/>
      <c r="V148" s="36"/>
      <c r="W148" s="36"/>
      <c r="X148" s="36"/>
      <c r="Y148" s="36"/>
      <c r="Z148" s="36"/>
      <c r="AA148" s="36"/>
      <c r="AB148" s="36"/>
      <c r="AC148" s="36"/>
      <c r="AD148" s="36"/>
      <c r="AE148" s="36"/>
      <c r="AF148" s="36"/>
      <c r="AG148" s="36"/>
      <c r="AH148" s="36"/>
      <c r="AI148" s="36"/>
      <c r="AJ148" s="36"/>
      <c r="AK148" s="36"/>
      <c r="AL148" s="36"/>
      <c r="AM148" s="36"/>
      <c r="AN148" s="36"/>
      <c r="AO148" s="36"/>
      <c r="AP148" s="36"/>
      <c r="AQ148" s="36"/>
      <c r="AR148" s="36"/>
      <c r="AS148" s="36"/>
      <c r="AT148" s="36"/>
      <c r="AU148" s="36"/>
      <c r="AV148" s="36"/>
      <c r="AW148" s="36"/>
      <c r="AX148" s="36"/>
      <c r="AY148" s="36"/>
      <c r="AZ148" s="36"/>
      <c r="BA148" s="36"/>
      <c r="BB148" s="36"/>
    </row>
    <row r="149" spans="2:54">
      <c r="B149" s="36"/>
      <c r="D149" s="36"/>
      <c r="F149" s="36"/>
      <c r="H149" s="36"/>
      <c r="I149" s="36"/>
      <c r="J149" s="36"/>
      <c r="K149" s="36"/>
      <c r="L149" s="36"/>
      <c r="M149" s="36"/>
      <c r="N149" s="36"/>
      <c r="O149" s="36"/>
      <c r="P149" s="36"/>
      <c r="Q149" s="36"/>
      <c r="R149" s="36"/>
      <c r="S149" s="36"/>
      <c r="T149" s="36"/>
      <c r="U149" s="36"/>
      <c r="V149" s="36"/>
      <c r="W149" s="36"/>
      <c r="X149" s="36"/>
      <c r="Y149" s="36"/>
      <c r="Z149" s="36"/>
      <c r="AA149" s="36"/>
      <c r="AB149" s="36"/>
      <c r="AC149" s="36"/>
      <c r="AD149" s="36"/>
      <c r="AE149" s="36"/>
      <c r="AF149" s="36"/>
      <c r="AG149" s="36"/>
      <c r="AH149" s="36"/>
      <c r="AI149" s="36"/>
      <c r="AJ149" s="36"/>
      <c r="AK149" s="36"/>
      <c r="AL149" s="36"/>
      <c r="AM149" s="36"/>
      <c r="AN149" s="36"/>
      <c r="AO149" s="36"/>
      <c r="AP149" s="36"/>
      <c r="AQ149" s="36"/>
      <c r="AR149" s="36"/>
      <c r="AS149" s="36"/>
      <c r="AT149" s="36"/>
      <c r="AU149" s="36"/>
      <c r="AV149" s="36"/>
      <c r="AW149" s="36"/>
      <c r="AX149" s="36"/>
      <c r="AY149" s="36"/>
      <c r="AZ149" s="36"/>
      <c r="BA149" s="36"/>
      <c r="BB149" s="36"/>
    </row>
    <row r="150" spans="2:54">
      <c r="B150" s="36"/>
      <c r="D150" s="36"/>
      <c r="F150" s="36"/>
      <c r="H150" s="36"/>
      <c r="I150" s="36"/>
      <c r="J150" s="36"/>
      <c r="K150" s="36"/>
      <c r="L150" s="36"/>
      <c r="M150" s="36"/>
      <c r="N150" s="36"/>
      <c r="O150" s="36"/>
      <c r="P150" s="36"/>
      <c r="Q150" s="36"/>
      <c r="R150" s="36"/>
      <c r="S150" s="36"/>
      <c r="T150" s="36"/>
      <c r="U150" s="36"/>
      <c r="V150" s="36"/>
      <c r="W150" s="36"/>
      <c r="X150" s="36"/>
      <c r="Y150" s="36"/>
      <c r="Z150" s="36"/>
      <c r="AA150" s="36"/>
      <c r="AB150" s="36"/>
      <c r="AC150" s="36"/>
      <c r="AD150" s="36"/>
      <c r="AE150" s="36"/>
      <c r="AF150" s="36"/>
      <c r="AG150" s="36"/>
      <c r="AH150" s="36"/>
      <c r="AI150" s="36"/>
      <c r="AJ150" s="36"/>
      <c r="AK150" s="36"/>
      <c r="AL150" s="36"/>
      <c r="AM150" s="36"/>
      <c r="AN150" s="36"/>
      <c r="AO150" s="36"/>
      <c r="AP150" s="36"/>
      <c r="AQ150" s="36"/>
      <c r="AR150" s="36"/>
      <c r="AS150" s="36"/>
      <c r="AT150" s="36"/>
      <c r="AU150" s="36"/>
      <c r="AV150" s="36"/>
      <c r="AW150" s="36"/>
      <c r="AX150" s="36"/>
      <c r="AY150" s="36"/>
      <c r="AZ150" s="36"/>
      <c r="BA150" s="36"/>
      <c r="BB150" s="36"/>
    </row>
    <row r="151" spans="2:54">
      <c r="B151" s="36"/>
      <c r="D151" s="36"/>
      <c r="F151" s="36"/>
      <c r="H151" s="36"/>
      <c r="I151" s="36"/>
      <c r="J151" s="36"/>
      <c r="K151" s="36"/>
      <c r="L151" s="36"/>
      <c r="M151" s="36"/>
      <c r="N151" s="36"/>
      <c r="O151" s="36"/>
      <c r="P151" s="36"/>
      <c r="Q151" s="36"/>
      <c r="R151" s="36"/>
      <c r="S151" s="36"/>
      <c r="T151" s="36"/>
      <c r="U151" s="36"/>
      <c r="V151" s="36"/>
      <c r="W151" s="36"/>
      <c r="X151" s="36"/>
      <c r="Y151" s="36"/>
      <c r="Z151" s="36"/>
      <c r="AA151" s="36"/>
      <c r="AB151" s="36"/>
      <c r="AC151" s="36"/>
      <c r="AD151" s="36"/>
      <c r="AE151" s="36"/>
      <c r="AF151" s="36"/>
      <c r="AG151" s="36"/>
      <c r="AH151" s="36"/>
      <c r="AI151" s="36"/>
      <c r="AJ151" s="36"/>
      <c r="AK151" s="36"/>
      <c r="AL151" s="36"/>
      <c r="AM151" s="36"/>
      <c r="AN151" s="36"/>
      <c r="AO151" s="36"/>
      <c r="AP151" s="36"/>
      <c r="AQ151" s="36"/>
      <c r="AR151" s="36"/>
      <c r="AS151" s="36"/>
      <c r="AT151" s="36"/>
      <c r="AU151" s="36"/>
      <c r="AV151" s="36"/>
      <c r="AW151" s="36"/>
      <c r="AX151" s="36"/>
      <c r="AY151" s="36"/>
      <c r="AZ151" s="36"/>
      <c r="BA151" s="36"/>
      <c r="BB151" s="36"/>
    </row>
    <row r="152" spans="2:54">
      <c r="B152" s="36"/>
      <c r="D152" s="36"/>
      <c r="F152" s="36"/>
      <c r="H152" s="36"/>
      <c r="I152" s="36"/>
      <c r="J152" s="36"/>
      <c r="K152" s="36"/>
      <c r="L152" s="36"/>
      <c r="M152" s="36"/>
      <c r="N152" s="36"/>
      <c r="O152" s="36"/>
      <c r="P152" s="36"/>
      <c r="Q152" s="36"/>
      <c r="R152" s="36"/>
      <c r="S152" s="36"/>
      <c r="T152" s="36"/>
      <c r="U152" s="36"/>
      <c r="V152" s="36"/>
      <c r="W152" s="36"/>
      <c r="X152" s="36"/>
      <c r="Y152" s="36"/>
      <c r="Z152" s="36"/>
      <c r="AA152" s="36"/>
      <c r="AB152" s="36"/>
      <c r="AC152" s="36"/>
      <c r="AD152" s="36"/>
      <c r="AE152" s="36"/>
      <c r="AF152" s="36"/>
      <c r="AG152" s="36"/>
      <c r="AH152" s="36"/>
      <c r="AI152" s="36"/>
      <c r="AJ152" s="36"/>
      <c r="AK152" s="36"/>
      <c r="AL152" s="36"/>
      <c r="AM152" s="36"/>
      <c r="AN152" s="36"/>
      <c r="AO152" s="36"/>
      <c r="AP152" s="36"/>
      <c r="AQ152" s="36"/>
      <c r="AR152" s="36"/>
      <c r="AS152" s="36"/>
      <c r="AT152" s="36"/>
      <c r="AU152" s="36"/>
      <c r="AV152" s="36"/>
      <c r="AW152" s="36"/>
      <c r="AX152" s="36"/>
      <c r="AY152" s="36"/>
      <c r="AZ152" s="36"/>
      <c r="BA152" s="36"/>
      <c r="BB152" s="36"/>
    </row>
    <row r="153" spans="2:54">
      <c r="B153" s="36"/>
      <c r="D153" s="36"/>
      <c r="F153" s="36"/>
      <c r="H153" s="36"/>
      <c r="I153" s="36"/>
      <c r="J153" s="36"/>
      <c r="K153" s="36"/>
      <c r="L153" s="36"/>
      <c r="M153" s="36"/>
      <c r="N153" s="36"/>
      <c r="O153" s="36"/>
      <c r="P153" s="36"/>
      <c r="Q153" s="36"/>
      <c r="R153" s="36"/>
      <c r="S153" s="36"/>
      <c r="T153" s="36"/>
      <c r="U153" s="36"/>
      <c r="V153" s="36"/>
      <c r="W153" s="36"/>
      <c r="X153" s="36"/>
      <c r="Y153" s="36"/>
      <c r="Z153" s="36"/>
      <c r="AA153" s="36"/>
      <c r="AB153" s="36"/>
      <c r="AC153" s="36"/>
      <c r="AD153" s="36"/>
      <c r="AE153" s="36"/>
      <c r="AF153" s="36"/>
      <c r="AG153" s="36"/>
      <c r="AH153" s="36"/>
      <c r="AI153" s="36"/>
      <c r="AJ153" s="36"/>
      <c r="AK153" s="36"/>
      <c r="AL153" s="36"/>
      <c r="AM153" s="36"/>
      <c r="AN153" s="36"/>
      <c r="AO153" s="36"/>
      <c r="AP153" s="36"/>
      <c r="AQ153" s="36"/>
      <c r="AR153" s="36"/>
      <c r="AS153" s="36"/>
      <c r="AT153" s="36"/>
      <c r="AU153" s="36"/>
      <c r="AV153" s="36"/>
      <c r="AW153" s="36"/>
      <c r="AX153" s="36"/>
      <c r="AY153" s="36"/>
      <c r="AZ153" s="36"/>
      <c r="BA153" s="36"/>
      <c r="BB153" s="36"/>
    </row>
    <row r="154" spans="2:54">
      <c r="B154" s="36"/>
      <c r="D154" s="36"/>
      <c r="F154" s="36"/>
      <c r="H154" s="36"/>
      <c r="I154" s="36"/>
      <c r="J154" s="36"/>
      <c r="K154" s="36"/>
      <c r="L154" s="36"/>
      <c r="M154" s="36"/>
      <c r="N154" s="36"/>
      <c r="O154" s="36"/>
      <c r="P154" s="36"/>
      <c r="Q154" s="36"/>
      <c r="R154" s="36"/>
      <c r="S154" s="36"/>
      <c r="T154" s="36"/>
      <c r="U154" s="36"/>
      <c r="V154" s="36"/>
      <c r="W154" s="36"/>
      <c r="X154" s="36"/>
      <c r="Y154" s="36"/>
      <c r="Z154" s="36"/>
      <c r="AA154" s="36"/>
      <c r="AB154" s="36"/>
      <c r="AC154" s="36"/>
      <c r="AD154" s="36"/>
      <c r="AE154" s="36"/>
      <c r="AF154" s="36"/>
      <c r="AG154" s="36"/>
      <c r="AH154" s="36"/>
      <c r="AI154" s="36"/>
      <c r="AJ154" s="36"/>
      <c r="AK154" s="36"/>
      <c r="AL154" s="36"/>
      <c r="AM154" s="36"/>
      <c r="AN154" s="36"/>
      <c r="AO154" s="36"/>
      <c r="AP154" s="36"/>
      <c r="AQ154" s="36"/>
      <c r="AR154" s="36"/>
      <c r="AS154" s="36"/>
      <c r="AT154" s="36"/>
      <c r="AU154" s="36"/>
      <c r="AV154" s="36"/>
      <c r="AW154" s="36"/>
      <c r="AX154" s="36"/>
      <c r="AY154" s="36"/>
      <c r="AZ154" s="36"/>
      <c r="BA154" s="36"/>
      <c r="BB154" s="36"/>
    </row>
    <row r="155" spans="2:54">
      <c r="B155" s="36"/>
      <c r="D155" s="36"/>
      <c r="F155" s="36"/>
      <c r="H155" s="36"/>
      <c r="I155" s="36"/>
      <c r="J155" s="36"/>
      <c r="K155" s="36"/>
      <c r="L155" s="36"/>
      <c r="M155" s="36"/>
      <c r="N155" s="36"/>
      <c r="O155" s="36"/>
      <c r="P155" s="36"/>
      <c r="Q155" s="36"/>
      <c r="R155" s="36"/>
      <c r="S155" s="36"/>
      <c r="T155" s="36"/>
      <c r="U155" s="36"/>
      <c r="V155" s="36"/>
      <c r="W155" s="36"/>
      <c r="X155" s="36"/>
      <c r="Y155" s="36"/>
      <c r="Z155" s="36"/>
      <c r="AA155" s="36"/>
      <c r="AB155" s="36"/>
      <c r="AC155" s="36"/>
      <c r="AD155" s="36"/>
      <c r="AE155" s="36"/>
      <c r="AF155" s="36"/>
      <c r="AG155" s="36"/>
      <c r="AH155" s="36"/>
      <c r="AI155" s="36"/>
      <c r="AJ155" s="36"/>
      <c r="AK155" s="36"/>
      <c r="AL155" s="36"/>
      <c r="AM155" s="36"/>
      <c r="AN155" s="36"/>
      <c r="AO155" s="36"/>
      <c r="AP155" s="36"/>
      <c r="AQ155" s="36"/>
      <c r="AR155" s="36"/>
      <c r="AS155" s="36"/>
      <c r="AT155" s="36"/>
      <c r="AU155" s="36"/>
      <c r="AV155" s="36"/>
      <c r="AW155" s="36"/>
      <c r="AX155" s="36"/>
      <c r="AY155" s="36"/>
      <c r="AZ155" s="36"/>
      <c r="BA155" s="36"/>
      <c r="BB155" s="36"/>
    </row>
  </sheetData>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3F509A-D763-47FC-A0A4-27EC79D32AAF}">
  <sheetPr codeName="Sheet18"/>
  <dimension ref="B1:U65"/>
  <sheetViews>
    <sheetView workbookViewId="0">
      <selection activeCell="K57" sqref="K57"/>
    </sheetView>
  </sheetViews>
  <sheetFormatPr defaultRowHeight="14.5"/>
  <cols>
    <col min="1" max="2" width="8.6640625" style="127"/>
    <col min="3" max="3" width="17.9140625" style="135" bestFit="1" customWidth="1"/>
    <col min="4" max="4" width="10.75" style="135" bestFit="1" customWidth="1"/>
    <col min="5" max="6" width="8.83203125" style="135" bestFit="1" customWidth="1"/>
    <col min="7" max="9" width="8.6640625" style="127"/>
    <col min="10" max="10" width="21" style="127" bestFit="1" customWidth="1"/>
    <col min="11" max="11" width="19.9140625" style="127" bestFit="1" customWidth="1"/>
    <col min="12" max="12" width="21" style="127" bestFit="1" customWidth="1"/>
    <col min="13" max="13" width="8.75" style="127" bestFit="1" customWidth="1"/>
    <col min="14" max="14" width="9.75" style="127" bestFit="1" customWidth="1"/>
    <col min="15" max="15" width="8.6640625" style="127"/>
    <col min="16" max="17" width="11.75" style="127" bestFit="1" customWidth="1"/>
    <col min="18" max="18" width="10.5" style="127" customWidth="1"/>
    <col min="19" max="16384" width="8.6640625" style="127"/>
  </cols>
  <sheetData>
    <row r="1" spans="2:20">
      <c r="G1" s="163"/>
      <c r="H1" s="193"/>
      <c r="I1" s="194"/>
      <c r="J1" s="194"/>
      <c r="K1" s="194" t="s">
        <v>252</v>
      </c>
      <c r="L1" s="194">
        <f>IF(L4&lt;&gt;0,1000, IF(L5&lt;&gt;0,1000000,IF(L6&lt;&gt;0,1000000000,0)))</f>
        <v>1000000000</v>
      </c>
      <c r="M1" s="194"/>
      <c r="N1" s="194"/>
      <c r="O1" s="194"/>
      <c r="P1" s="194"/>
      <c r="Q1" s="195"/>
      <c r="R1" s="165"/>
    </row>
    <row r="2" spans="2:20">
      <c r="G2" s="163"/>
      <c r="H2" s="196"/>
      <c r="Q2" s="197"/>
      <c r="R2" s="165"/>
    </row>
    <row r="3" spans="2:20" ht="15" thickBot="1">
      <c r="C3" s="326" t="s">
        <v>292</v>
      </c>
      <c r="D3" s="134" t="s">
        <v>235</v>
      </c>
      <c r="G3" s="163"/>
      <c r="H3" s="196"/>
      <c r="I3" s="153" t="s">
        <v>244</v>
      </c>
      <c r="J3" s="147">
        <f>L3</f>
        <v>19000000000</v>
      </c>
      <c r="K3" s="127" t="s">
        <v>248</v>
      </c>
      <c r="L3" s="158">
        <f>IF(L4&lt;&gt;0,L4*L1,IF(L5&lt;&gt;0,L5*L1,IF(L6&lt;&gt;0,L6*L1,0)))</f>
        <v>19000000000</v>
      </c>
      <c r="N3" s="127" t="s">
        <v>155</v>
      </c>
      <c r="O3" s="133">
        <v>25</v>
      </c>
      <c r="P3" s="173">
        <f>P5*1000</f>
        <v>2.2300000000000004</v>
      </c>
      <c r="Q3" s="197"/>
      <c r="R3" s="165"/>
    </row>
    <row r="4" spans="2:20">
      <c r="C4" s="327"/>
      <c r="D4" s="136" t="s">
        <v>236</v>
      </c>
      <c r="G4" s="163"/>
      <c r="H4" s="196"/>
      <c r="I4" s="153" t="s">
        <v>245</v>
      </c>
      <c r="J4" s="148">
        <f>J3/1000</f>
        <v>19000000</v>
      </c>
      <c r="K4" s="127" t="s">
        <v>249</v>
      </c>
      <c r="L4" s="157"/>
      <c r="M4" s="127" t="s">
        <v>294</v>
      </c>
      <c r="N4" s="127" t="s">
        <v>154</v>
      </c>
      <c r="O4" s="132">
        <f>O3/10</f>
        <v>2.5</v>
      </c>
      <c r="P4" s="174">
        <f>P5*100</f>
        <v>0.22300000000000003</v>
      </c>
      <c r="Q4" s="197"/>
      <c r="R4" s="165"/>
    </row>
    <row r="5" spans="2:20">
      <c r="C5" s="176"/>
      <c r="G5" s="163"/>
      <c r="H5" s="196"/>
      <c r="I5" s="153" t="s">
        <v>246</v>
      </c>
      <c r="J5" s="149">
        <f>J4/1000</f>
        <v>19000</v>
      </c>
      <c r="K5" s="127" t="s">
        <v>250</v>
      </c>
      <c r="L5" s="155"/>
      <c r="M5" s="127" t="s">
        <v>295</v>
      </c>
      <c r="N5" s="127" t="s">
        <v>152</v>
      </c>
      <c r="O5" s="151">
        <f>O4/100</f>
        <v>2.5000000000000001E-2</v>
      </c>
      <c r="P5" s="133">
        <f>2.23*10^-3</f>
        <v>2.2300000000000002E-3</v>
      </c>
      <c r="Q5" s="197"/>
      <c r="R5" s="165"/>
    </row>
    <row r="6" spans="2:20">
      <c r="C6" s="176"/>
      <c r="G6" s="163"/>
      <c r="H6" s="196"/>
      <c r="I6" s="153" t="s">
        <v>247</v>
      </c>
      <c r="J6" s="150">
        <f>J5/1000</f>
        <v>19</v>
      </c>
      <c r="K6" s="127" t="s">
        <v>251</v>
      </c>
      <c r="L6" s="156">
        <v>19</v>
      </c>
      <c r="M6" s="127" t="s">
        <v>296</v>
      </c>
      <c r="N6" s="127" t="s">
        <v>243</v>
      </c>
      <c r="O6" s="152">
        <f>O5/1000</f>
        <v>2.5000000000000001E-5</v>
      </c>
      <c r="P6" s="172"/>
      <c r="Q6" s="197"/>
      <c r="R6" s="165"/>
    </row>
    <row r="7" spans="2:20" ht="15" thickBot="1">
      <c r="C7" s="326" t="s">
        <v>293</v>
      </c>
      <c r="D7" s="134" t="s">
        <v>253</v>
      </c>
      <c r="G7" s="163"/>
      <c r="H7" s="198"/>
      <c r="I7" s="185"/>
      <c r="J7" s="185"/>
      <c r="K7" s="185"/>
      <c r="L7" s="185"/>
      <c r="M7" s="185"/>
      <c r="N7" s="185"/>
      <c r="O7" s="185"/>
      <c r="P7" s="185"/>
      <c r="Q7" s="199"/>
      <c r="R7" s="165"/>
    </row>
    <row r="8" spans="2:20">
      <c r="C8" s="327"/>
      <c r="D8" s="136" t="s">
        <v>254</v>
      </c>
      <c r="H8" s="128"/>
      <c r="I8" s="128"/>
      <c r="J8" s="128"/>
      <c r="K8" s="128"/>
      <c r="L8" s="128"/>
      <c r="M8" s="128"/>
      <c r="N8" s="128"/>
      <c r="O8" s="128"/>
      <c r="P8" s="128"/>
      <c r="Q8" s="128"/>
    </row>
    <row r="10" spans="2:20">
      <c r="Q10" s="163"/>
      <c r="R10" s="164"/>
      <c r="S10" s="164"/>
      <c r="T10" s="165"/>
    </row>
    <row r="11" spans="2:20" ht="15" thickBot="1">
      <c r="B11" s="334" t="s">
        <v>291</v>
      </c>
      <c r="C11" s="335"/>
      <c r="D11" s="184" t="s">
        <v>1</v>
      </c>
      <c r="Q11" s="163"/>
      <c r="R11" s="164"/>
      <c r="S11" s="164"/>
      <c r="T11" s="165"/>
    </row>
    <row r="12" spans="2:20">
      <c r="B12" s="336"/>
      <c r="C12" s="337"/>
      <c r="D12" s="136" t="s">
        <v>40</v>
      </c>
      <c r="Q12" s="163"/>
      <c r="R12" s="164"/>
      <c r="S12" s="164"/>
      <c r="T12" s="165"/>
    </row>
    <row r="14" spans="2:20">
      <c r="Q14" s="163"/>
      <c r="R14" s="164"/>
      <c r="S14" s="164"/>
      <c r="T14" s="165"/>
    </row>
    <row r="15" spans="2:20">
      <c r="Q15" s="163"/>
      <c r="R15" s="164"/>
      <c r="S15" s="164"/>
      <c r="T15" s="165"/>
    </row>
    <row r="16" spans="2:20">
      <c r="Q16" s="163"/>
      <c r="R16" s="164"/>
      <c r="S16" s="164"/>
      <c r="T16" s="165"/>
    </row>
    <row r="17" spans="2:20">
      <c r="Q17" s="163"/>
      <c r="R17" s="164"/>
      <c r="S17" s="164"/>
      <c r="T17" s="165"/>
    </row>
    <row r="18" spans="2:20">
      <c r="Q18" s="163"/>
      <c r="R18" s="164"/>
      <c r="S18" s="164"/>
      <c r="T18" s="165"/>
    </row>
    <row r="19" spans="2:20">
      <c r="P19" s="127" t="s">
        <v>261</v>
      </c>
      <c r="Q19" s="323" t="s">
        <v>267</v>
      </c>
      <c r="R19" s="324"/>
      <c r="S19" s="324"/>
      <c r="T19" s="325"/>
    </row>
    <row r="20" spans="2:20">
      <c r="C20" s="167" t="s">
        <v>263</v>
      </c>
      <c r="Q20" s="167" t="s">
        <v>268</v>
      </c>
    </row>
    <row r="21" spans="2:20" ht="15" thickBot="1">
      <c r="C21" s="137" t="s">
        <v>241</v>
      </c>
      <c r="D21" s="137" t="s">
        <v>240</v>
      </c>
      <c r="E21" s="137" t="s">
        <v>242</v>
      </c>
      <c r="F21" s="137" t="s">
        <v>152</v>
      </c>
      <c r="J21" s="168" t="s">
        <v>264</v>
      </c>
      <c r="K21" s="129" t="s">
        <v>258</v>
      </c>
      <c r="L21" s="129" t="s">
        <v>259</v>
      </c>
      <c r="M21" s="129" t="s">
        <v>253</v>
      </c>
      <c r="P21" s="129" t="s">
        <v>270</v>
      </c>
      <c r="Q21" s="129" t="s">
        <v>262</v>
      </c>
      <c r="R21" s="168" t="s">
        <v>264</v>
      </c>
    </row>
    <row r="22" spans="2:20" ht="15" thickBot="1">
      <c r="B22" s="130"/>
      <c r="C22" s="138" t="s">
        <v>265</v>
      </c>
      <c r="D22" s="139" t="s">
        <v>235</v>
      </c>
      <c r="E22" s="139" t="s">
        <v>236</v>
      </c>
      <c r="F22" s="140" t="s">
        <v>239</v>
      </c>
      <c r="G22" s="131"/>
      <c r="I22" s="130"/>
      <c r="J22" s="159" t="s">
        <v>266</v>
      </c>
      <c r="K22" s="160" t="s">
        <v>255</v>
      </c>
      <c r="L22" s="160" t="s">
        <v>256</v>
      </c>
      <c r="M22" s="161" t="s">
        <v>257</v>
      </c>
      <c r="N22" s="131"/>
      <c r="O22" s="130"/>
      <c r="P22" s="159" t="s">
        <v>238</v>
      </c>
      <c r="Q22" s="160" t="s">
        <v>269</v>
      </c>
      <c r="R22" s="161" t="s">
        <v>260</v>
      </c>
      <c r="S22" s="131"/>
    </row>
    <row r="23" spans="2:20">
      <c r="C23" s="136"/>
      <c r="D23" s="136"/>
      <c r="E23" s="136"/>
      <c r="F23" s="136"/>
      <c r="J23" s="128"/>
      <c r="K23" s="128"/>
      <c r="L23" s="128"/>
      <c r="M23" s="128"/>
      <c r="P23" s="128"/>
      <c r="Q23" s="128"/>
      <c r="R23" s="128"/>
    </row>
    <row r="24" spans="2:20">
      <c r="C24" s="141">
        <f>D24/E24</f>
        <v>1600</v>
      </c>
      <c r="D24" s="142">
        <v>800</v>
      </c>
      <c r="E24" s="142">
        <v>0.5</v>
      </c>
      <c r="F24" s="143"/>
      <c r="J24" s="166">
        <f>M24/K24</f>
        <v>11.487500000000001</v>
      </c>
      <c r="K24" s="133">
        <v>10</v>
      </c>
      <c r="L24" s="133">
        <v>124.875</v>
      </c>
      <c r="M24" s="127">
        <f>L24-K24</f>
        <v>114.875</v>
      </c>
      <c r="P24" s="169">
        <f>Q24*R24</f>
        <v>0</v>
      </c>
      <c r="Q24" s="133">
        <v>19000000000</v>
      </c>
      <c r="R24" s="133"/>
    </row>
    <row r="25" spans="2:20">
      <c r="C25" s="141">
        <f>D25/E25</f>
        <v>101859.16357881301</v>
      </c>
      <c r="D25" s="142">
        <v>200</v>
      </c>
      <c r="E25" s="143">
        <f>PI()*(F25^2)</f>
        <v>1.9634954084936209E-3</v>
      </c>
      <c r="F25" s="142">
        <v>2.5000000000000001E-2</v>
      </c>
      <c r="K25" s="133"/>
      <c r="L25" s="127">
        <f>K25+M25</f>
        <v>0</v>
      </c>
      <c r="M25" s="133"/>
    </row>
    <row r="26" spans="2:20">
      <c r="C26" s="143"/>
      <c r="D26" s="143"/>
      <c r="E26" s="143"/>
      <c r="F26" s="143"/>
      <c r="K26" s="127">
        <f>L26-M26</f>
        <v>0</v>
      </c>
      <c r="L26" s="133"/>
      <c r="M26" s="133"/>
      <c r="P26" s="133"/>
      <c r="Q26" s="170" t="e">
        <f>P26/R26</f>
        <v>#DIV/0!</v>
      </c>
      <c r="R26" s="133"/>
    </row>
    <row r="27" spans="2:20">
      <c r="C27" s="142"/>
      <c r="D27" s="144"/>
      <c r="E27" s="142"/>
      <c r="F27" s="143"/>
      <c r="K27" s="132"/>
    </row>
    <row r="28" spans="2:20">
      <c r="C28" s="143"/>
      <c r="D28" s="144"/>
      <c r="E28" s="142"/>
      <c r="F28" s="142"/>
      <c r="P28" s="133">
        <v>-100000000</v>
      </c>
      <c r="Q28" s="133">
        <f>Q24</f>
        <v>19000000000</v>
      </c>
      <c r="R28" s="171">
        <f>P28/Q28</f>
        <v>-5.263157894736842E-3</v>
      </c>
    </row>
    <row r="29" spans="2:20">
      <c r="C29" s="143"/>
      <c r="D29" s="143"/>
      <c r="E29" s="143"/>
      <c r="F29" s="143"/>
    </row>
    <row r="30" spans="2:20">
      <c r="C30" s="142"/>
      <c r="D30" s="142"/>
      <c r="E30" s="145"/>
      <c r="F30" s="143"/>
      <c r="L30" s="154"/>
    </row>
    <row r="31" spans="2:20">
      <c r="C31" s="143"/>
      <c r="D31" s="142"/>
      <c r="E31" s="145"/>
      <c r="F31" s="142"/>
    </row>
    <row r="32" spans="2:20">
      <c r="C32" s="143"/>
      <c r="D32" s="143"/>
      <c r="E32" s="143"/>
      <c r="F32" s="143"/>
    </row>
    <row r="33" spans="3:16">
      <c r="C33" s="142"/>
      <c r="D33" s="142"/>
      <c r="E33" s="143"/>
      <c r="F33" s="146"/>
      <c r="J33" s="133">
        <f>R28*-1</f>
        <v>5.263157894736842E-3</v>
      </c>
      <c r="K33" s="133">
        <v>10</v>
      </c>
      <c r="L33" s="127">
        <f>K33+M33</f>
        <v>10.052631578947368</v>
      </c>
      <c r="M33" s="162">
        <f>J33*K33</f>
        <v>5.2631578947368418E-2</v>
      </c>
    </row>
    <row r="34" spans="3:16">
      <c r="C34" s="143"/>
      <c r="D34" s="142"/>
      <c r="E34" s="142"/>
      <c r="F34" s="146"/>
    </row>
    <row r="35" spans="3:16">
      <c r="C35" s="143"/>
      <c r="D35" s="143"/>
      <c r="E35" s="143"/>
      <c r="F35" s="143"/>
    </row>
    <row r="36" spans="3:16">
      <c r="C36" s="143"/>
      <c r="D36" s="143"/>
      <c r="E36" s="143"/>
      <c r="F36" s="143"/>
    </row>
    <row r="37" spans="3:16">
      <c r="C37" s="143"/>
      <c r="D37" s="143"/>
      <c r="E37" s="143"/>
      <c r="F37" s="143"/>
    </row>
    <row r="38" spans="3:16" ht="15" thickBot="1">
      <c r="C38" s="178" t="s">
        <v>273</v>
      </c>
      <c r="D38" s="143"/>
      <c r="E38" s="143"/>
      <c r="F38" s="143"/>
      <c r="J38" s="129"/>
      <c r="K38" s="129"/>
      <c r="L38" s="129"/>
      <c r="M38" s="129"/>
      <c r="N38" s="129"/>
      <c r="O38" s="129"/>
    </row>
    <row r="39" spans="3:16" ht="15" thickBot="1">
      <c r="C39" s="135" t="s">
        <v>271</v>
      </c>
      <c r="D39" s="177" t="s">
        <v>272</v>
      </c>
      <c r="I39" s="163"/>
      <c r="J39" s="179" t="s">
        <v>280</v>
      </c>
      <c r="K39" s="180" t="s">
        <v>282</v>
      </c>
      <c r="L39" s="180" t="s">
        <v>281</v>
      </c>
      <c r="M39" s="183" t="s">
        <v>279</v>
      </c>
      <c r="N39" s="181" t="s">
        <v>283</v>
      </c>
      <c r="O39" s="187" t="s">
        <v>262</v>
      </c>
      <c r="P39" s="165"/>
    </row>
    <row r="40" spans="3:16">
      <c r="C40" s="175"/>
      <c r="J40" s="128"/>
      <c r="K40" s="128"/>
      <c r="L40" s="128"/>
      <c r="M40" s="128"/>
      <c r="N40" s="128"/>
      <c r="O40" s="128"/>
    </row>
    <row r="41" spans="3:16" ht="15" thickBot="1">
      <c r="C41" s="326" t="s">
        <v>274</v>
      </c>
      <c r="D41" s="328" t="s">
        <v>275</v>
      </c>
      <c r="E41" s="329"/>
      <c r="J41" s="182">
        <f>(-K41)/L41</f>
        <v>0</v>
      </c>
      <c r="K41" s="155"/>
      <c r="L41" s="155">
        <v>1.5789473684210526E-3</v>
      </c>
    </row>
    <row r="42" spans="3:16">
      <c r="C42" s="327"/>
      <c r="D42" s="330" t="s">
        <v>276</v>
      </c>
      <c r="E42" s="331"/>
    </row>
    <row r="44" spans="3:16" ht="15" thickBot="1">
      <c r="C44" s="326" t="s">
        <v>274</v>
      </c>
      <c r="D44" s="190" t="s">
        <v>289</v>
      </c>
      <c r="E44" s="332" t="s">
        <v>277</v>
      </c>
      <c r="F44" s="191" t="s">
        <v>290</v>
      </c>
    </row>
    <row r="45" spans="3:16">
      <c r="C45" s="327"/>
      <c r="D45" s="136" t="s">
        <v>278</v>
      </c>
      <c r="E45" s="333"/>
      <c r="F45" s="136" t="s">
        <v>279</v>
      </c>
      <c r="J45" s="155">
        <v>0.15</v>
      </c>
      <c r="K45" s="192">
        <f>(L45*J45)*-1</f>
        <v>7.894736842105263E-4</v>
      </c>
      <c r="L45" s="127">
        <v>-5.263157894736842E-3</v>
      </c>
    </row>
    <row r="48" spans="3:16" ht="15" thickBot="1">
      <c r="C48" s="326" t="s">
        <v>284</v>
      </c>
      <c r="D48" s="185" t="s">
        <v>283</v>
      </c>
    </row>
    <row r="49" spans="3:15">
      <c r="C49" s="327"/>
      <c r="D49" s="136" t="s">
        <v>262</v>
      </c>
      <c r="J49" s="155"/>
      <c r="L49" s="189">
        <f>N49/O49</f>
        <v>4.7619047619047619E-4</v>
      </c>
      <c r="N49" s="155">
        <v>100000000</v>
      </c>
      <c r="O49" s="155">
        <v>210000000000</v>
      </c>
    </row>
    <row r="52" spans="3:15" ht="15" thickBot="1">
      <c r="D52" s="321" t="s">
        <v>285</v>
      </c>
      <c r="E52" s="321" t="s">
        <v>286</v>
      </c>
      <c r="F52" s="184" t="s">
        <v>287</v>
      </c>
    </row>
    <row r="53" spans="3:15">
      <c r="D53" s="322"/>
      <c r="E53" s="322"/>
      <c r="F53" s="136"/>
      <c r="M53" s="188"/>
    </row>
    <row r="57" spans="3:15">
      <c r="N57" s="186"/>
    </row>
    <row r="65" spans="21:21">
      <c r="U65" s="127" t="s">
        <v>288</v>
      </c>
    </row>
  </sheetData>
  <mergeCells count="12">
    <mergeCell ref="C44:C45"/>
    <mergeCell ref="E44:E45"/>
    <mergeCell ref="C48:C49"/>
    <mergeCell ref="D52:D53"/>
    <mergeCell ref="E52:E53"/>
    <mergeCell ref="C7:C8"/>
    <mergeCell ref="C3:C4"/>
    <mergeCell ref="Q19:T19"/>
    <mergeCell ref="C41:C42"/>
    <mergeCell ref="D41:E41"/>
    <mergeCell ref="D42:E42"/>
    <mergeCell ref="B11:C12"/>
  </mergeCells>
  <pageMargins left="0.7" right="0.7" top="0.75" bottom="0.75" header="0.3" footer="0.3"/>
  <pageSetup paperSize="9" orientation="portrait" horizontalDpi="300" verticalDpi="3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D33B0D-7189-492C-8909-97F36D3F91A6}">
  <sheetPr codeName="Sheet3"/>
  <dimension ref="B2:T42"/>
  <sheetViews>
    <sheetView topLeftCell="A43" zoomScale="85" zoomScaleNormal="85" workbookViewId="0">
      <selection activeCell="K32" sqref="K32:Q37"/>
    </sheetView>
  </sheetViews>
  <sheetFormatPr defaultColWidth="9" defaultRowHeight="14"/>
  <cols>
    <col min="1" max="1" width="9" style="1"/>
    <col min="2" max="2" width="10.25" style="1" bestFit="1" customWidth="1"/>
    <col min="3" max="3" width="9" style="1"/>
    <col min="4" max="4" width="9.5" style="1" bestFit="1" customWidth="1"/>
    <col min="5" max="5" width="12.08203125" style="1" customWidth="1"/>
    <col min="6" max="7" width="9" style="1"/>
    <col min="8" max="8" width="8.08203125" style="1" bestFit="1" customWidth="1"/>
    <col min="9" max="9" width="9.25" style="1" bestFit="1" customWidth="1"/>
    <col min="10" max="10" width="10.75" style="1" customWidth="1"/>
    <col min="11" max="11" width="16" style="1" bestFit="1" customWidth="1"/>
    <col min="12" max="12" width="10.5" style="1" customWidth="1"/>
    <col min="13" max="13" width="10" style="1" customWidth="1"/>
    <col min="14" max="14" width="8.5" style="1" customWidth="1"/>
    <col min="15" max="17" width="9" style="1"/>
    <col min="18" max="18" width="10.5" style="1" bestFit="1" customWidth="1"/>
    <col min="19" max="16384" width="9" style="1"/>
  </cols>
  <sheetData>
    <row r="2" spans="2:18">
      <c r="B2" s="301" t="s">
        <v>134</v>
      </c>
      <c r="C2" s="301"/>
      <c r="D2" s="301"/>
      <c r="E2" s="301"/>
      <c r="F2" s="301"/>
      <c r="G2" s="301"/>
      <c r="H2" s="301"/>
    </row>
    <row r="3" spans="2:18">
      <c r="B3" s="301"/>
      <c r="C3" s="301"/>
      <c r="D3" s="301"/>
      <c r="E3" s="301"/>
      <c r="F3" s="301"/>
      <c r="G3" s="301"/>
      <c r="H3" s="301"/>
    </row>
    <row r="4" spans="2:18">
      <c r="B4" s="301"/>
      <c r="C4" s="301"/>
      <c r="D4" s="301"/>
      <c r="E4" s="301"/>
      <c r="F4" s="301"/>
      <c r="G4" s="301"/>
      <c r="H4" s="301"/>
    </row>
    <row r="7" spans="2:18">
      <c r="B7" s="302" t="s">
        <v>135</v>
      </c>
      <c r="C7" s="302"/>
      <c r="D7" s="302"/>
      <c r="E7" s="302"/>
      <c r="G7" s="303" t="s">
        <v>136</v>
      </c>
      <c r="H7" s="303"/>
      <c r="I7" s="303"/>
      <c r="J7" s="45"/>
    </row>
    <row r="8" spans="2:18" ht="18.5">
      <c r="B8" s="302"/>
      <c r="C8" s="302"/>
      <c r="D8" s="302"/>
      <c r="E8" s="302"/>
      <c r="F8" s="46" t="s">
        <v>137</v>
      </c>
      <c r="G8" s="303"/>
      <c r="H8" s="303"/>
      <c r="I8" s="303"/>
      <c r="J8" s="47" t="s">
        <v>138</v>
      </c>
    </row>
    <row r="9" spans="2:18">
      <c r="B9" s="302"/>
      <c r="C9" s="302"/>
      <c r="D9" s="302"/>
      <c r="E9" s="302"/>
      <c r="G9" s="303"/>
      <c r="H9" s="303"/>
      <c r="I9" s="303"/>
      <c r="J9" s="45"/>
    </row>
    <row r="10" spans="2:18">
      <c r="M10" s="304" t="s">
        <v>139</v>
      </c>
      <c r="N10" s="304"/>
      <c r="O10" s="304"/>
      <c r="P10" s="304"/>
    </row>
    <row r="11" spans="2:18">
      <c r="B11" s="300" t="s">
        <v>178</v>
      </c>
      <c r="C11" s="300"/>
      <c r="D11" s="300"/>
      <c r="E11" s="300"/>
      <c r="F11" s="300"/>
      <c r="G11" s="300"/>
      <c r="H11" s="300"/>
      <c r="I11" s="300"/>
      <c r="J11" s="300"/>
      <c r="M11" s="304"/>
      <c r="N11" s="304"/>
      <c r="O11" s="304"/>
      <c r="P11" s="304"/>
    </row>
    <row r="12" spans="2:18">
      <c r="B12" s="300"/>
      <c r="C12" s="300"/>
      <c r="D12" s="300"/>
      <c r="E12" s="300"/>
      <c r="F12" s="300"/>
      <c r="G12" s="300"/>
      <c r="H12" s="300"/>
      <c r="I12" s="300"/>
      <c r="J12" s="300"/>
    </row>
    <row r="13" spans="2:18">
      <c r="O13" s="1" t="s">
        <v>140</v>
      </c>
    </row>
    <row r="15" spans="2:18" ht="42">
      <c r="B15" s="48" t="s">
        <v>141</v>
      </c>
      <c r="C15" s="48"/>
      <c r="D15" s="48" t="s">
        <v>142</v>
      </c>
      <c r="E15" s="48" t="s">
        <v>143</v>
      </c>
      <c r="F15" s="48"/>
      <c r="G15" s="48"/>
      <c r="H15" s="48" t="s">
        <v>144</v>
      </c>
      <c r="I15" s="48" t="s">
        <v>145</v>
      </c>
      <c r="J15" s="48"/>
      <c r="K15" s="48" t="s">
        <v>146</v>
      </c>
      <c r="L15" s="49" t="s">
        <v>147</v>
      </c>
      <c r="M15" s="49" t="s">
        <v>148</v>
      </c>
      <c r="O15" s="1" t="s">
        <v>149</v>
      </c>
      <c r="P15" s="1" t="s">
        <v>150</v>
      </c>
      <c r="R15" s="1" t="s">
        <v>151</v>
      </c>
    </row>
    <row r="18" spans="2:20">
      <c r="B18" s="1">
        <f>D18/E18</f>
        <v>0.69040810179054635</v>
      </c>
      <c r="C18" s="1" t="s">
        <v>152</v>
      </c>
      <c r="D18" s="50" t="str">
        <f>G7</f>
        <v>299792458</v>
      </c>
      <c r="E18" s="15">
        <f>E20*1000000</f>
        <v>434225000</v>
      </c>
      <c r="F18" s="1" t="s">
        <v>153</v>
      </c>
      <c r="H18" s="1">
        <f>B18/2</f>
        <v>0.34520405089527317</v>
      </c>
      <c r="I18" s="51">
        <f>B18/4</f>
        <v>0.17260202544763659</v>
      </c>
      <c r="K18" s="1">
        <v>0.95</v>
      </c>
      <c r="L18" s="1">
        <f>I18*K18</f>
        <v>0.16397192417525475</v>
      </c>
      <c r="M18" s="1">
        <f>(B18*0.28)*K18</f>
        <v>0.18364855507628533</v>
      </c>
    </row>
    <row r="19" spans="2:20">
      <c r="B19" s="1">
        <f>B18*100</f>
        <v>69.040810179054631</v>
      </c>
      <c r="C19" s="1" t="s">
        <v>154</v>
      </c>
      <c r="H19" s="52">
        <f t="shared" ref="H19:H20" si="0">B19/2</f>
        <v>34.520405089527316</v>
      </c>
      <c r="I19" s="52">
        <f t="shared" ref="I19:I20" si="1">B19/4</f>
        <v>17.260202544763658</v>
      </c>
      <c r="K19" s="1">
        <v>0.95</v>
      </c>
      <c r="L19" s="53">
        <f>I19*K19</f>
        <v>16.397192417525474</v>
      </c>
      <c r="M19" s="54">
        <f>(B19*0.28)*K19</f>
        <v>18.364855507628533</v>
      </c>
    </row>
    <row r="20" spans="2:20">
      <c r="B20" s="1">
        <f>B18*1000</f>
        <v>690.40810179054631</v>
      </c>
      <c r="C20" s="1" t="s">
        <v>155</v>
      </c>
      <c r="E20" s="55">
        <v>434.22500000000002</v>
      </c>
      <c r="F20" s="1" t="s">
        <v>156</v>
      </c>
      <c r="H20" s="52">
        <f t="shared" si="0"/>
        <v>345.20405089527316</v>
      </c>
      <c r="I20" s="52">
        <f t="shared" si="1"/>
        <v>172.60202544763658</v>
      </c>
      <c r="K20" s="1">
        <v>0.95</v>
      </c>
      <c r="L20" s="52">
        <f>I20*K20</f>
        <v>163.97192417525474</v>
      </c>
      <c r="M20" s="56">
        <f t="shared" ref="M20" si="2">(B20*0.28)*K20</f>
        <v>183.64855507628533</v>
      </c>
    </row>
    <row r="23" spans="2:20">
      <c r="B23" s="57">
        <f>B18</f>
        <v>0.69040810179054635</v>
      </c>
      <c r="C23" s="1" t="s">
        <v>152</v>
      </c>
      <c r="D23" s="52" t="str">
        <f>G7</f>
        <v>299792458</v>
      </c>
      <c r="E23" s="1">
        <f>D23/B23</f>
        <v>434225000</v>
      </c>
      <c r="F23" s="1" t="s">
        <v>153</v>
      </c>
      <c r="M23" s="56">
        <v>16.399999999999999</v>
      </c>
      <c r="O23" s="1">
        <v>18.600000000000001</v>
      </c>
      <c r="P23" s="1">
        <f>O23*4</f>
        <v>74.400000000000006</v>
      </c>
      <c r="R23" s="1">
        <f>G7/(P23/100)/1000000</f>
        <v>402.94685215053755</v>
      </c>
    </row>
    <row r="24" spans="2:20">
      <c r="B24" s="57">
        <f>B23*100</f>
        <v>69.040810179054631</v>
      </c>
      <c r="C24" s="1" t="s">
        <v>154</v>
      </c>
      <c r="D24" s="50"/>
    </row>
    <row r="25" spans="2:20">
      <c r="B25" s="57">
        <f>B23*1000</f>
        <v>690.40810179054631</v>
      </c>
      <c r="C25" s="1" t="s">
        <v>155</v>
      </c>
      <c r="D25" s="50"/>
      <c r="E25" s="1">
        <f>E23/1000000</f>
        <v>434.22500000000002</v>
      </c>
      <c r="F25" s="1" t="s">
        <v>156</v>
      </c>
    </row>
    <row r="26" spans="2:20">
      <c r="D26" s="50"/>
    </row>
    <row r="28" spans="2:20">
      <c r="B28" s="300" t="s">
        <v>179</v>
      </c>
      <c r="C28" s="300"/>
      <c r="D28" s="300"/>
      <c r="E28" s="300"/>
      <c r="F28" s="300"/>
      <c r="G28" s="300"/>
      <c r="H28" s="300"/>
      <c r="I28" s="300"/>
      <c r="J28" s="300"/>
      <c r="R28" s="3" t="s">
        <v>192</v>
      </c>
      <c r="S28" s="1">
        <v>0.8</v>
      </c>
      <c r="T28" s="1" t="s">
        <v>155</v>
      </c>
    </row>
    <row r="29" spans="2:20">
      <c r="B29" s="300"/>
      <c r="C29" s="300"/>
      <c r="D29" s="300"/>
      <c r="E29" s="300"/>
      <c r="F29" s="300"/>
      <c r="G29" s="300"/>
      <c r="H29" s="300"/>
      <c r="I29" s="300"/>
      <c r="J29" s="300"/>
      <c r="K29" s="1" t="s">
        <v>186</v>
      </c>
      <c r="N29" s="1" t="s">
        <v>186</v>
      </c>
    </row>
    <row r="30" spans="2:20">
      <c r="J30" s="3" t="s">
        <v>180</v>
      </c>
      <c r="K30" s="1">
        <v>300672</v>
      </c>
      <c r="M30" s="80" t="s">
        <v>185</v>
      </c>
      <c r="N30" s="1">
        <v>75168</v>
      </c>
      <c r="R30" s="3" t="s">
        <v>188</v>
      </c>
      <c r="S30" s="1">
        <f>(K37*3)/10</f>
        <v>38.383659574468084</v>
      </c>
      <c r="T30" s="1" t="s">
        <v>154</v>
      </c>
    </row>
    <row r="32" spans="2:20">
      <c r="B32" s="48" t="s">
        <v>141</v>
      </c>
      <c r="C32" s="48"/>
      <c r="D32" s="48" t="s">
        <v>142</v>
      </c>
      <c r="E32" s="1" t="s">
        <v>143</v>
      </c>
      <c r="H32" s="48" t="s">
        <v>144</v>
      </c>
      <c r="I32" s="48" t="s">
        <v>145</v>
      </c>
      <c r="K32" s="1" t="s">
        <v>181</v>
      </c>
      <c r="M32" s="3" t="s">
        <v>182</v>
      </c>
      <c r="N32" s="14" t="s">
        <v>183</v>
      </c>
    </row>
    <row r="33" spans="2:17">
      <c r="B33" s="73"/>
      <c r="C33" s="73"/>
      <c r="D33" s="73"/>
      <c r="N33" s="1" t="s">
        <v>184</v>
      </c>
      <c r="P33" s="14" t="s">
        <v>191</v>
      </c>
    </row>
    <row r="34" spans="2:17">
      <c r="B34" s="73"/>
      <c r="C34" s="73"/>
      <c r="D34" s="73"/>
    </row>
    <row r="35" spans="2:17">
      <c r="B35" s="73">
        <f>D35/E35</f>
        <v>0.12757125872340425</v>
      </c>
      <c r="C35" s="73" t="s">
        <v>152</v>
      </c>
      <c r="D35" s="52" t="str">
        <f>D40</f>
        <v>299792458</v>
      </c>
      <c r="E35" s="82">
        <f>E37*1000000</f>
        <v>2350000000</v>
      </c>
      <c r="F35" s="1" t="s">
        <v>153</v>
      </c>
    </row>
    <row r="36" spans="2:17">
      <c r="B36" s="73">
        <f>B35*100</f>
        <v>12.757125872340424</v>
      </c>
      <c r="C36" s="73" t="s">
        <v>154</v>
      </c>
      <c r="D36" s="73"/>
    </row>
    <row r="37" spans="2:17">
      <c r="B37" s="73">
        <f>B35*1000</f>
        <v>127.57125872340424</v>
      </c>
      <c r="C37" s="73" t="s">
        <v>155</v>
      </c>
      <c r="D37" s="73"/>
      <c r="E37" s="18">
        <v>2350</v>
      </c>
      <c r="F37" s="1" t="s">
        <v>156</v>
      </c>
      <c r="I37" s="1">
        <f>B37/4</f>
        <v>31.89281468085106</v>
      </c>
      <c r="J37" s="1" t="s">
        <v>155</v>
      </c>
      <c r="K37" s="1">
        <f>K30/E37</f>
        <v>127.94553191489362</v>
      </c>
      <c r="L37" s="14" t="s">
        <v>155</v>
      </c>
      <c r="N37" s="1">
        <f>(1/E37*N30)</f>
        <v>31.986382978723405</v>
      </c>
      <c r="O37" s="14" t="s">
        <v>155</v>
      </c>
      <c r="P37" s="1">
        <f>N37-(S28/2)</f>
        <v>31.586382978723407</v>
      </c>
      <c r="Q37" s="1" t="s">
        <v>155</v>
      </c>
    </row>
    <row r="38" spans="2:17">
      <c r="B38" s="73"/>
      <c r="C38" s="73"/>
      <c r="D38" s="73"/>
    </row>
    <row r="39" spans="2:17">
      <c r="B39" s="73"/>
      <c r="C39" s="73"/>
      <c r="D39" s="73"/>
    </row>
    <row r="40" spans="2:17">
      <c r="B40" s="57">
        <f>B35</f>
        <v>0.12757125872340425</v>
      </c>
      <c r="C40" s="73" t="s">
        <v>152</v>
      </c>
      <c r="D40" s="52" t="str">
        <f>D23</f>
        <v>299792458</v>
      </c>
      <c r="E40" s="73">
        <f>B41*D40</f>
        <v>3824490122.2843299</v>
      </c>
      <c r="F40" s="73" t="s">
        <v>153</v>
      </c>
      <c r="G40" s="1" t="s">
        <v>187</v>
      </c>
    </row>
    <row r="41" spans="2:17">
      <c r="B41" s="57">
        <f>B40*100</f>
        <v>12.757125872340424</v>
      </c>
      <c r="C41" s="73" t="s">
        <v>154</v>
      </c>
      <c r="D41" s="50"/>
      <c r="E41" s="73"/>
      <c r="F41" s="73"/>
    </row>
    <row r="42" spans="2:17">
      <c r="B42" s="57">
        <f>B40*1000</f>
        <v>127.57125872340424</v>
      </c>
      <c r="C42" s="73" t="s">
        <v>155</v>
      </c>
      <c r="D42" s="50"/>
      <c r="E42" s="81">
        <f>E40/1000000</f>
        <v>3824.49012228433</v>
      </c>
      <c r="F42" s="73" t="s">
        <v>156</v>
      </c>
    </row>
  </sheetData>
  <mergeCells count="6">
    <mergeCell ref="B28:J29"/>
    <mergeCell ref="B2:H4"/>
    <mergeCell ref="B7:E9"/>
    <mergeCell ref="G7:I9"/>
    <mergeCell ref="M10:P11"/>
    <mergeCell ref="B11:J12"/>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B9256-7530-475D-BB62-8F8C24151072}">
  <sheetPr codeName="Sheet4">
    <tabColor rgb="FF7030A0"/>
  </sheetPr>
  <dimension ref="A2:O39"/>
  <sheetViews>
    <sheetView workbookViewId="0">
      <selection activeCell="H56" sqref="H56"/>
    </sheetView>
  </sheetViews>
  <sheetFormatPr defaultColWidth="9" defaultRowHeight="14.5"/>
  <cols>
    <col min="1" max="1" width="9" style="74"/>
    <col min="2" max="2" width="13" style="74" bestFit="1" customWidth="1"/>
    <col min="3" max="4" width="9" style="74"/>
    <col min="5" max="5" width="14.33203125" style="74" bestFit="1" customWidth="1"/>
    <col min="6" max="6" width="11.5" style="74" bestFit="1" customWidth="1"/>
    <col min="7" max="12" width="9" style="74"/>
    <col min="13" max="13" width="10.83203125" style="74" bestFit="1" customWidth="1"/>
    <col min="14" max="14" width="9.83203125" style="74" bestFit="1" customWidth="1"/>
    <col min="15" max="15" width="14" style="74" bestFit="1" customWidth="1"/>
    <col min="16" max="16384" width="9" style="74"/>
  </cols>
  <sheetData>
    <row r="2" spans="2:15">
      <c r="M2" s="74" t="s">
        <v>176</v>
      </c>
    </row>
    <row r="3" spans="2:15">
      <c r="M3" s="75">
        <f>M7*2</f>
        <v>16</v>
      </c>
    </row>
    <row r="4" spans="2:15">
      <c r="C4" s="75"/>
      <c r="D4" s="78"/>
      <c r="E4" s="75"/>
      <c r="F4" s="75"/>
      <c r="G4" s="75"/>
      <c r="H4" s="75"/>
    </row>
    <row r="5" spans="2:15">
      <c r="C5" s="75"/>
      <c r="D5" s="78"/>
      <c r="E5" s="75"/>
      <c r="F5" s="75"/>
      <c r="G5" s="75"/>
      <c r="H5" s="75"/>
      <c r="M5" s="75"/>
      <c r="N5" s="75"/>
    </row>
    <row r="6" spans="2:15">
      <c r="B6" s="74" t="s">
        <v>113</v>
      </c>
      <c r="C6" s="76">
        <v>5</v>
      </c>
      <c r="D6" s="78" t="s">
        <v>114</v>
      </c>
      <c r="E6" s="75"/>
      <c r="F6" s="75"/>
      <c r="G6" s="75"/>
      <c r="H6" s="75"/>
      <c r="M6" s="75" t="s">
        <v>173</v>
      </c>
      <c r="N6" s="75" t="s">
        <v>174</v>
      </c>
      <c r="O6" s="74" t="s">
        <v>177</v>
      </c>
    </row>
    <row r="7" spans="2:15">
      <c r="C7" s="75"/>
      <c r="D7" s="78"/>
      <c r="E7" s="75"/>
      <c r="F7" s="75"/>
      <c r="G7" s="75"/>
      <c r="H7" s="75"/>
      <c r="L7" s="74" t="s">
        <v>172</v>
      </c>
      <c r="M7" s="75">
        <v>8</v>
      </c>
      <c r="N7" s="75">
        <f>M3^2</f>
        <v>256</v>
      </c>
      <c r="O7" s="74">
        <f>(C6-C23)/N7</f>
        <v>1.953125E-2</v>
      </c>
    </row>
    <row r="8" spans="2:15">
      <c r="C8" s="75"/>
      <c r="D8" s="78"/>
      <c r="E8" s="75"/>
      <c r="F8" s="75"/>
      <c r="G8" s="75"/>
      <c r="H8" s="75"/>
      <c r="M8" s="79" t="s">
        <v>175</v>
      </c>
      <c r="N8" s="75"/>
    </row>
    <row r="9" spans="2:15">
      <c r="C9" s="75"/>
      <c r="D9" s="78"/>
      <c r="E9" s="75" t="s">
        <v>115</v>
      </c>
      <c r="F9" s="75">
        <f>F10*1000</f>
        <v>1000</v>
      </c>
      <c r="G9" s="75" t="s">
        <v>30</v>
      </c>
      <c r="H9" s="75"/>
      <c r="M9" s="79" t="str">
        <f>DEC2HEX(M7, 8)</f>
        <v>00000008</v>
      </c>
    </row>
    <row r="10" spans="2:15">
      <c r="C10" s="75"/>
      <c r="D10" s="78"/>
      <c r="E10" s="75"/>
      <c r="F10" s="76">
        <v>1</v>
      </c>
      <c r="G10" s="75" t="s">
        <v>117</v>
      </c>
      <c r="H10" s="75"/>
    </row>
    <row r="11" spans="2:15">
      <c r="C11" s="75"/>
      <c r="D11" s="78"/>
      <c r="E11" s="75"/>
      <c r="F11" s="75"/>
      <c r="G11" s="75"/>
      <c r="H11" s="75"/>
    </row>
    <row r="12" spans="2:15">
      <c r="C12" s="75"/>
      <c r="D12" s="78"/>
      <c r="E12" s="75"/>
      <c r="F12" s="75"/>
      <c r="G12" s="75"/>
      <c r="H12" s="75"/>
    </row>
    <row r="13" spans="2:15">
      <c r="C13" s="75"/>
      <c r="D13" s="78"/>
      <c r="E13" s="75"/>
      <c r="F13" s="75"/>
      <c r="G13" s="75" t="s">
        <v>118</v>
      </c>
      <c r="H13" s="75">
        <f>((C6-C23)*F17)/(F9+F17)</f>
        <v>4.9950049950049946</v>
      </c>
      <c r="I13" s="74" t="s">
        <v>114</v>
      </c>
      <c r="L13" s="74">
        <f>(H13/O7)-1</f>
        <v>254.74425574425572</v>
      </c>
    </row>
    <row r="14" spans="2:15">
      <c r="C14" s="75"/>
      <c r="D14" s="78"/>
      <c r="E14" s="75"/>
      <c r="F14" s="75"/>
      <c r="G14" s="75"/>
      <c r="H14" s="75"/>
    </row>
    <row r="15" spans="2:15">
      <c r="C15" s="75"/>
      <c r="D15" s="78"/>
      <c r="E15" s="75"/>
      <c r="F15" s="75"/>
      <c r="G15" s="75"/>
      <c r="H15" s="75"/>
    </row>
    <row r="16" spans="2:15">
      <c r="C16" s="75"/>
      <c r="D16" s="78"/>
      <c r="E16" s="75"/>
      <c r="F16" s="75"/>
      <c r="G16" s="75"/>
      <c r="H16" s="75"/>
    </row>
    <row r="17" spans="2:8">
      <c r="C17" s="75"/>
      <c r="D17" s="78"/>
      <c r="E17" s="75" t="s">
        <v>116</v>
      </c>
      <c r="F17" s="75">
        <f>F18*1000</f>
        <v>1000000</v>
      </c>
      <c r="G17" s="75" t="s">
        <v>30</v>
      </c>
      <c r="H17" s="75"/>
    </row>
    <row r="18" spans="2:8">
      <c r="C18" s="75"/>
      <c r="D18" s="78"/>
      <c r="E18" s="75"/>
      <c r="F18" s="77">
        <v>1000</v>
      </c>
      <c r="G18" s="75" t="s">
        <v>117</v>
      </c>
      <c r="H18" s="75"/>
    </row>
    <row r="19" spans="2:8">
      <c r="C19" s="75"/>
      <c r="D19" s="78"/>
      <c r="E19" s="75"/>
      <c r="F19" s="75"/>
      <c r="G19" s="75"/>
      <c r="H19" s="75"/>
    </row>
    <row r="20" spans="2:8">
      <c r="C20" s="75"/>
      <c r="D20" s="78"/>
      <c r="E20" s="75"/>
      <c r="F20" s="75"/>
      <c r="G20" s="75"/>
      <c r="H20" s="75"/>
    </row>
    <row r="21" spans="2:8">
      <c r="C21" s="75"/>
      <c r="D21" s="78"/>
      <c r="E21" s="75"/>
      <c r="F21" s="75"/>
      <c r="G21" s="75"/>
      <c r="H21" s="75"/>
    </row>
    <row r="22" spans="2:8">
      <c r="C22" s="75"/>
      <c r="D22" s="78"/>
      <c r="E22" s="75"/>
      <c r="F22" s="75"/>
      <c r="G22" s="75"/>
      <c r="H22" s="75"/>
    </row>
    <row r="23" spans="2:8">
      <c r="B23" s="74" t="s">
        <v>113</v>
      </c>
      <c r="C23" s="77">
        <v>0</v>
      </c>
      <c r="D23" s="78" t="s">
        <v>114</v>
      </c>
      <c r="E23" s="75"/>
      <c r="F23" s="75"/>
      <c r="G23" s="75"/>
      <c r="H23" s="75"/>
    </row>
    <row r="24" spans="2:8">
      <c r="C24" s="75"/>
      <c r="D24" s="78"/>
      <c r="E24" s="75"/>
      <c r="F24" s="75"/>
      <c r="G24" s="75"/>
      <c r="H24" s="75"/>
    </row>
    <row r="27" spans="2:8">
      <c r="E27" s="74" t="s">
        <v>120</v>
      </c>
      <c r="F27" s="74">
        <f>(F9/1000)+(F17/1000)</f>
        <v>1001</v>
      </c>
      <c r="G27" s="74" t="s">
        <v>117</v>
      </c>
    </row>
    <row r="29" spans="2:8">
      <c r="E29" s="74" t="s">
        <v>119</v>
      </c>
      <c r="F29" s="74">
        <f>(C6-C23)/F27</f>
        <v>4.995004995004995E-3</v>
      </c>
      <c r="G29" s="74" t="s">
        <v>40</v>
      </c>
    </row>
    <row r="31" spans="2:8">
      <c r="E31" s="74" t="s">
        <v>121</v>
      </c>
    </row>
    <row r="36" spans="1:5">
      <c r="C36" s="75" t="s">
        <v>59</v>
      </c>
    </row>
    <row r="37" spans="1:5">
      <c r="C37" s="75" t="s">
        <v>60</v>
      </c>
    </row>
    <row r="38" spans="1:5">
      <c r="C38" s="75" t="s">
        <v>61</v>
      </c>
      <c r="D38" s="75"/>
      <c r="E38" s="75"/>
    </row>
    <row r="39" spans="1:5">
      <c r="A39" s="75"/>
      <c r="B39" s="75"/>
      <c r="C39" s="75" t="s">
        <v>65</v>
      </c>
    </row>
  </sheetData>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486CFD-D3A1-4BE3-986A-17A89EBD00E2}">
  <sheetPr codeName="Sheet5">
    <tabColor rgb="FFFF00FF"/>
  </sheetPr>
  <dimension ref="A2:T38"/>
  <sheetViews>
    <sheetView workbookViewId="0">
      <selection activeCell="C7" sqref="C7"/>
    </sheetView>
  </sheetViews>
  <sheetFormatPr defaultColWidth="9" defaultRowHeight="14.5"/>
  <cols>
    <col min="1" max="1" width="9" style="74"/>
    <col min="2" max="2" width="13" style="74" bestFit="1" customWidth="1"/>
    <col min="3" max="4" width="9" style="74"/>
    <col min="5" max="5" width="14.33203125" style="74" bestFit="1" customWidth="1"/>
    <col min="6" max="6" width="11.5" style="74" bestFit="1" customWidth="1"/>
    <col min="7" max="7" width="10.25" style="74" customWidth="1"/>
    <col min="8" max="12" width="9" style="74"/>
    <col min="13" max="13" width="10.83203125" style="74" bestFit="1" customWidth="1"/>
    <col min="14" max="14" width="9.83203125" style="74" bestFit="1" customWidth="1"/>
    <col min="15" max="15" width="14" style="74" bestFit="1" customWidth="1"/>
    <col min="16" max="16" width="10.9140625" style="74" customWidth="1"/>
    <col min="17" max="17" width="12.83203125" style="74" bestFit="1" customWidth="1"/>
    <col min="18" max="18" width="12.83203125" style="75" customWidth="1"/>
    <col min="19" max="19" width="16.9140625" style="75" bestFit="1" customWidth="1"/>
    <col min="20" max="16384" width="9" style="74"/>
  </cols>
  <sheetData>
    <row r="2" spans="2:20">
      <c r="I2" s="74" t="s">
        <v>217</v>
      </c>
      <c r="L2" s="75" t="s">
        <v>221</v>
      </c>
      <c r="O2" s="74" t="s">
        <v>222</v>
      </c>
    </row>
    <row r="3" spans="2:20">
      <c r="M3" s="75"/>
      <c r="O3" s="74" t="s">
        <v>225</v>
      </c>
    </row>
    <row r="4" spans="2:20">
      <c r="C4" s="75"/>
      <c r="D4" s="78"/>
      <c r="E4" s="75" t="s">
        <v>215</v>
      </c>
      <c r="F4" s="75"/>
      <c r="G4" s="78" t="s">
        <v>227</v>
      </c>
      <c r="H4" s="75"/>
      <c r="I4" s="111">
        <v>100</v>
      </c>
      <c r="J4" s="78" t="s">
        <v>218</v>
      </c>
    </row>
    <row r="5" spans="2:20">
      <c r="C5" s="75"/>
      <c r="D5" s="78"/>
      <c r="E5" s="75"/>
      <c r="F5" s="75"/>
      <c r="G5" s="75"/>
      <c r="H5" s="75"/>
      <c r="M5" s="75"/>
      <c r="N5" s="75"/>
      <c r="P5" s="75" t="s">
        <v>215</v>
      </c>
      <c r="Q5" s="74" t="s">
        <v>226</v>
      </c>
      <c r="R5" s="75" t="s">
        <v>228</v>
      </c>
      <c r="S5" s="75" t="s">
        <v>229</v>
      </c>
      <c r="T5" s="75" t="s">
        <v>217</v>
      </c>
    </row>
    <row r="6" spans="2:20" ht="15" thickBot="1">
      <c r="B6" s="74" t="s">
        <v>113</v>
      </c>
      <c r="C6" s="112">
        <v>12</v>
      </c>
      <c r="D6" s="78" t="s">
        <v>114</v>
      </c>
      <c r="E6" s="75"/>
      <c r="F6" s="75"/>
      <c r="G6" s="75"/>
      <c r="H6" s="75"/>
      <c r="I6" s="74" t="s">
        <v>63</v>
      </c>
      <c r="M6" s="75"/>
      <c r="N6" s="75"/>
    </row>
    <row r="7" spans="2:20">
      <c r="C7" s="75"/>
      <c r="D7" s="78"/>
      <c r="E7" s="75"/>
      <c r="F7" s="75"/>
      <c r="G7" s="75"/>
      <c r="H7" s="75"/>
      <c r="L7" s="114"/>
      <c r="M7" s="115"/>
      <c r="N7" s="75"/>
    </row>
    <row r="8" spans="2:20">
      <c r="C8" s="75"/>
      <c r="D8" s="78"/>
      <c r="E8" s="75"/>
      <c r="F8" s="75"/>
      <c r="G8" s="75"/>
      <c r="H8" s="75"/>
      <c r="L8" s="116"/>
      <c r="M8" s="117"/>
    </row>
    <row r="9" spans="2:20">
      <c r="B9" s="74" t="s">
        <v>211</v>
      </c>
      <c r="C9" s="75"/>
      <c r="D9" s="78"/>
      <c r="E9" s="111">
        <v>1.8</v>
      </c>
      <c r="F9" s="78" t="s">
        <v>216</v>
      </c>
      <c r="G9" s="110">
        <f>C6-E9</f>
        <v>10.199999999999999</v>
      </c>
      <c r="H9" s="78" t="s">
        <v>216</v>
      </c>
      <c r="I9" s="74">
        <f>G9/I4</f>
        <v>0.10199999999999999</v>
      </c>
      <c r="J9" s="74" t="s">
        <v>220</v>
      </c>
      <c r="L9" s="116">
        <f>G9/E28</f>
        <v>566.66666666666663</v>
      </c>
      <c r="M9" s="118" t="s">
        <v>218</v>
      </c>
      <c r="O9" s="122" t="s">
        <v>223</v>
      </c>
      <c r="P9" s="74">
        <v>1.6859999999999999</v>
      </c>
      <c r="Q9" s="74">
        <f>(C6-C22)-P9</f>
        <v>10.314</v>
      </c>
      <c r="R9" s="75">
        <v>1</v>
      </c>
      <c r="S9" s="75">
        <f>E28*R9</f>
        <v>1.7999999999999999E-2</v>
      </c>
      <c r="T9" s="74">
        <f>(Q9*R9)/E28</f>
        <v>573</v>
      </c>
    </row>
    <row r="10" spans="2:20">
      <c r="C10" s="75"/>
      <c r="D10" s="78"/>
      <c r="E10" s="75"/>
      <c r="F10" s="78"/>
      <c r="G10" s="110"/>
      <c r="H10" s="75"/>
      <c r="L10" s="116"/>
      <c r="M10" s="118"/>
    </row>
    <row r="11" spans="2:20">
      <c r="C11" s="75"/>
      <c r="D11" s="78"/>
      <c r="E11" s="75"/>
      <c r="F11" s="75"/>
      <c r="G11" s="110"/>
      <c r="H11" s="75"/>
      <c r="L11" s="116"/>
      <c r="M11" s="118"/>
    </row>
    <row r="12" spans="2:20">
      <c r="B12" s="74" t="s">
        <v>212</v>
      </c>
      <c r="C12" s="75"/>
      <c r="D12" s="78"/>
      <c r="E12" s="111">
        <v>2.5710000000000002</v>
      </c>
      <c r="F12" s="78" t="s">
        <v>216</v>
      </c>
      <c r="G12" s="110">
        <f>G9-E12</f>
        <v>7.6289999999999996</v>
      </c>
      <c r="H12" s="78" t="s">
        <v>216</v>
      </c>
      <c r="I12" s="74">
        <f>G12/I4</f>
        <v>7.6289999999999997E-2</v>
      </c>
      <c r="J12" s="74" t="s">
        <v>220</v>
      </c>
      <c r="L12" s="116">
        <f>G12/E28</f>
        <v>423.83333333333331</v>
      </c>
      <c r="M12" s="118" t="s">
        <v>218</v>
      </c>
      <c r="O12" s="123" t="s">
        <v>224</v>
      </c>
      <c r="P12" s="74">
        <v>2.327</v>
      </c>
      <c r="Q12" s="74">
        <f>(C6-C22)-P12</f>
        <v>9.673</v>
      </c>
      <c r="R12" s="75">
        <v>0.8</v>
      </c>
      <c r="S12" s="75">
        <f>E28*R12</f>
        <v>1.44E-2</v>
      </c>
      <c r="T12" s="74">
        <f>(Q12*R12)/E28</f>
        <v>429.91111111111115</v>
      </c>
    </row>
    <row r="13" spans="2:20">
      <c r="C13" s="75"/>
      <c r="D13" s="78"/>
      <c r="E13" s="75"/>
      <c r="F13" s="75"/>
      <c r="G13" s="110"/>
      <c r="H13" s="75"/>
      <c r="L13" s="116"/>
      <c r="M13" s="118"/>
    </row>
    <row r="14" spans="2:20">
      <c r="C14" s="75"/>
      <c r="D14" s="78"/>
      <c r="E14" s="75"/>
      <c r="F14" s="75"/>
      <c r="G14" s="110"/>
      <c r="H14" s="75"/>
      <c r="L14" s="116"/>
      <c r="M14" s="118"/>
    </row>
    <row r="15" spans="2:20">
      <c r="B15" s="74" t="s">
        <v>213</v>
      </c>
      <c r="C15" s="75"/>
      <c r="D15" s="78"/>
      <c r="E15" s="111">
        <v>1.7889999999999999</v>
      </c>
      <c r="F15" s="78" t="s">
        <v>216</v>
      </c>
      <c r="G15" s="110">
        <f>G12-E15</f>
        <v>5.84</v>
      </c>
      <c r="H15" s="78" t="s">
        <v>216</v>
      </c>
      <c r="I15" s="74">
        <f>G15/I4</f>
        <v>5.8400000000000001E-2</v>
      </c>
      <c r="J15" s="74" t="s">
        <v>220</v>
      </c>
      <c r="L15" s="116">
        <f>G15/E28</f>
        <v>324.44444444444446</v>
      </c>
      <c r="M15" s="118" t="s">
        <v>218</v>
      </c>
      <c r="O15" s="124" t="s">
        <v>96</v>
      </c>
      <c r="P15" s="74">
        <v>2.524</v>
      </c>
      <c r="Q15" s="74">
        <f>(C6-C22)-P15</f>
        <v>9.4759999999999991</v>
      </c>
      <c r="R15" s="75">
        <v>0.9</v>
      </c>
      <c r="S15" s="75">
        <f>E28*R15</f>
        <v>1.6199999999999999E-2</v>
      </c>
      <c r="T15" s="74">
        <f>(Q15*R15)/E28</f>
        <v>473.8</v>
      </c>
    </row>
    <row r="16" spans="2:20">
      <c r="C16" s="75"/>
      <c r="D16" s="78"/>
      <c r="E16" s="75"/>
      <c r="F16" s="75"/>
      <c r="G16" s="110"/>
      <c r="H16" s="75"/>
      <c r="L16" s="116"/>
      <c r="M16" s="118"/>
    </row>
    <row r="17" spans="2:13">
      <c r="C17" s="75"/>
      <c r="D17" s="78"/>
      <c r="E17" s="75"/>
      <c r="F17" s="75"/>
      <c r="G17" s="110"/>
      <c r="H17" s="75"/>
      <c r="L17" s="116"/>
      <c r="M17" s="118"/>
    </row>
    <row r="18" spans="2:13">
      <c r="B18" s="74" t="s">
        <v>214</v>
      </c>
      <c r="C18" s="75"/>
      <c r="D18" s="78"/>
      <c r="E18" s="111">
        <v>2.5379999999999998</v>
      </c>
      <c r="F18" s="78" t="s">
        <v>216</v>
      </c>
      <c r="G18" s="110">
        <f>G15-E18</f>
        <v>3.302</v>
      </c>
      <c r="H18" s="78" t="s">
        <v>216</v>
      </c>
      <c r="I18" s="74">
        <f>G18/I4</f>
        <v>3.3020000000000001E-2</v>
      </c>
      <c r="J18" s="74" t="s">
        <v>220</v>
      </c>
      <c r="L18" s="116">
        <f>G18/E28</f>
        <v>183.44444444444446</v>
      </c>
      <c r="M18" s="118" t="s">
        <v>218</v>
      </c>
    </row>
    <row r="19" spans="2:13">
      <c r="C19" s="75"/>
      <c r="D19" s="78"/>
      <c r="E19" s="75"/>
      <c r="F19" s="75"/>
      <c r="G19" s="75"/>
      <c r="H19" s="75"/>
      <c r="L19" s="116"/>
      <c r="M19" s="118"/>
    </row>
    <row r="20" spans="2:13">
      <c r="B20" s="74" t="s">
        <v>217</v>
      </c>
      <c r="C20" s="75"/>
      <c r="D20" s="78"/>
      <c r="L20" s="116"/>
      <c r="M20" s="118"/>
    </row>
    <row r="21" spans="2:13" ht="15" thickBot="1">
      <c r="C21" s="75"/>
      <c r="D21" s="78"/>
      <c r="E21" s="75"/>
      <c r="F21" s="75"/>
      <c r="G21" s="75"/>
      <c r="H21" s="75"/>
      <c r="L21" s="119"/>
      <c r="M21" s="120"/>
    </row>
    <row r="22" spans="2:13">
      <c r="B22" s="74" t="s">
        <v>113</v>
      </c>
      <c r="C22" s="121">
        <v>0</v>
      </c>
      <c r="D22" s="78" t="s">
        <v>114</v>
      </c>
      <c r="E22" s="75"/>
      <c r="F22" s="75"/>
      <c r="G22" s="75"/>
      <c r="H22" s="75"/>
    </row>
    <row r="23" spans="2:13">
      <c r="C23" s="75"/>
      <c r="D23" s="78"/>
      <c r="E23" s="75"/>
      <c r="F23" s="75"/>
      <c r="G23" s="75"/>
      <c r="H23" s="75"/>
    </row>
    <row r="28" spans="2:13">
      <c r="D28" s="110" t="s">
        <v>219</v>
      </c>
      <c r="E28" s="113">
        <v>1.7999999999999999E-2</v>
      </c>
      <c r="F28" s="74" t="s">
        <v>220</v>
      </c>
    </row>
    <row r="35" spans="1:5">
      <c r="C35" s="75" t="s">
        <v>59</v>
      </c>
    </row>
    <row r="36" spans="1:5">
      <c r="C36" s="75" t="s">
        <v>60</v>
      </c>
    </row>
    <row r="37" spans="1:5">
      <c r="C37" s="75" t="s">
        <v>61</v>
      </c>
      <c r="D37" s="75"/>
      <c r="E37" s="75"/>
    </row>
    <row r="38" spans="1:5">
      <c r="A38" s="75"/>
      <c r="B38" s="75"/>
      <c r="C38" s="75" t="s">
        <v>65</v>
      </c>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EB7613-7410-4641-A02B-7A0C20549691}">
  <sheetPr codeName="Sheet6">
    <tabColor rgb="FFFFFF00"/>
  </sheetPr>
  <dimension ref="A1:L22"/>
  <sheetViews>
    <sheetView topLeftCell="B1" workbookViewId="0">
      <selection activeCell="G48" sqref="G48"/>
    </sheetView>
  </sheetViews>
  <sheetFormatPr defaultColWidth="9" defaultRowHeight="14.5"/>
  <cols>
    <col min="1" max="3" width="19.33203125" style="58" bestFit="1" customWidth="1"/>
    <col min="4" max="4" width="11.25" style="58" bestFit="1" customWidth="1"/>
    <col min="5" max="5" width="19.33203125" style="58" bestFit="1" customWidth="1"/>
    <col min="6" max="6" width="26.33203125" style="58" bestFit="1" customWidth="1"/>
    <col min="7" max="7" width="17" style="58" bestFit="1" customWidth="1"/>
    <col min="8" max="8" width="22.83203125" style="58" bestFit="1" customWidth="1"/>
    <col min="9" max="9" width="14" style="58" bestFit="1" customWidth="1"/>
    <col min="10" max="11" width="24" style="58" bestFit="1" customWidth="1"/>
    <col min="12" max="12" width="22.83203125" style="58" bestFit="1" customWidth="1"/>
    <col min="13" max="16384" width="9" style="58"/>
  </cols>
  <sheetData>
    <row r="1" spans="1:12" ht="15" customHeight="1">
      <c r="A1" s="305" t="s">
        <v>162</v>
      </c>
      <c r="B1" s="305"/>
      <c r="C1" s="305"/>
      <c r="D1" s="305"/>
      <c r="E1" s="305"/>
      <c r="F1" s="69"/>
      <c r="G1" s="69"/>
      <c r="H1" s="69"/>
      <c r="I1" s="69"/>
    </row>
    <row r="2" spans="1:12" ht="15" customHeight="1">
      <c r="A2" s="305"/>
      <c r="B2" s="305"/>
      <c r="C2" s="305"/>
      <c r="D2" s="305"/>
      <c r="E2" s="305"/>
      <c r="F2" s="69"/>
      <c r="G2" s="69"/>
      <c r="H2" s="69"/>
      <c r="I2" s="69"/>
    </row>
    <row r="3" spans="1:12" ht="15" customHeight="1">
      <c r="A3" s="69"/>
      <c r="B3" s="69"/>
      <c r="C3" s="69"/>
      <c r="D3" s="69"/>
      <c r="E3" s="69"/>
      <c r="F3" s="69"/>
      <c r="G3" s="69"/>
      <c r="H3" s="69"/>
      <c r="I3" s="69"/>
    </row>
    <row r="4" spans="1:12" ht="15" customHeight="1">
      <c r="A4" s="69"/>
      <c r="B4" s="69"/>
      <c r="C4" s="69"/>
      <c r="D4" s="69"/>
      <c r="E4" s="69"/>
      <c r="F4" s="69"/>
      <c r="G4" s="69"/>
    </row>
    <row r="6" spans="1:12">
      <c r="A6" s="58" t="s">
        <v>165</v>
      </c>
      <c r="B6" s="58" t="s">
        <v>163</v>
      </c>
      <c r="C6" s="58" t="s">
        <v>164</v>
      </c>
      <c r="E6" s="58" t="s">
        <v>163</v>
      </c>
      <c r="F6" s="58" t="s">
        <v>164</v>
      </c>
    </row>
    <row r="7" spans="1:12" ht="15.5">
      <c r="A7" s="63" t="s">
        <v>157</v>
      </c>
      <c r="B7" s="63" t="s">
        <v>157</v>
      </c>
      <c r="C7" s="63" t="s">
        <v>157</v>
      </c>
      <c r="D7" s="64" t="s">
        <v>158</v>
      </c>
      <c r="E7" s="66" t="s">
        <v>159</v>
      </c>
      <c r="F7" s="66" t="s">
        <v>159</v>
      </c>
      <c r="G7" s="67" t="s">
        <v>160</v>
      </c>
      <c r="H7" s="66" t="s">
        <v>161</v>
      </c>
      <c r="I7" s="59" t="s">
        <v>166</v>
      </c>
      <c r="J7" s="70" t="s">
        <v>168</v>
      </c>
      <c r="K7" s="61" t="s">
        <v>167</v>
      </c>
      <c r="L7" s="60" t="s">
        <v>169</v>
      </c>
    </row>
    <row r="8" spans="1:12" ht="15.5">
      <c r="B8" s="62"/>
      <c r="D8" s="65"/>
      <c r="E8" s="68"/>
      <c r="F8" s="62"/>
      <c r="G8" s="65"/>
      <c r="H8" s="62"/>
      <c r="I8" s="71"/>
      <c r="J8" s="62"/>
      <c r="K8" s="62"/>
      <c r="L8" s="62"/>
    </row>
    <row r="9" spans="1:12" ht="15.5">
      <c r="A9" s="58">
        <v>3.2</v>
      </c>
      <c r="B9" s="62">
        <v>3.7</v>
      </c>
      <c r="C9" s="58">
        <v>4.2</v>
      </c>
      <c r="D9" s="72">
        <v>2</v>
      </c>
      <c r="E9" s="62">
        <f>B9*D9</f>
        <v>7.4</v>
      </c>
      <c r="F9" s="62">
        <f>C9*D9</f>
        <v>8.4</v>
      </c>
      <c r="G9" s="72">
        <v>860</v>
      </c>
      <c r="H9" s="62">
        <f>F9*G9/1000</f>
        <v>7.2240000000000002</v>
      </c>
      <c r="I9" s="72">
        <v>0.1</v>
      </c>
      <c r="J9" s="62">
        <f>F9</f>
        <v>8.4</v>
      </c>
      <c r="K9" s="62">
        <f>(G9/1000)*I9</f>
        <v>8.6000000000000007E-2</v>
      </c>
      <c r="L9" s="62">
        <f>K9*0.03</f>
        <v>2.5800000000000003E-3</v>
      </c>
    </row>
    <row r="10" spans="1:12" ht="15.5">
      <c r="C10" s="62"/>
      <c r="D10" s="62"/>
      <c r="E10" s="62"/>
      <c r="F10" s="62"/>
      <c r="G10" s="62"/>
      <c r="H10" s="62"/>
      <c r="I10" s="62"/>
      <c r="J10" s="62"/>
      <c r="K10" s="62"/>
      <c r="L10" s="62"/>
    </row>
    <row r="13" spans="1:12">
      <c r="A13" s="305" t="s">
        <v>170</v>
      </c>
      <c r="B13" s="305"/>
      <c r="C13" s="305"/>
      <c r="D13" s="305"/>
      <c r="E13" s="305"/>
    </row>
    <row r="14" spans="1:12">
      <c r="A14" s="305"/>
      <c r="B14" s="305"/>
      <c r="C14" s="305"/>
      <c r="D14" s="305"/>
      <c r="E14" s="305"/>
    </row>
    <row r="19" spans="1:7">
      <c r="A19" s="58" t="s">
        <v>165</v>
      </c>
      <c r="B19" s="58" t="s">
        <v>164</v>
      </c>
      <c r="C19" s="58" t="s">
        <v>63</v>
      </c>
      <c r="E19" s="58" t="s">
        <v>164</v>
      </c>
      <c r="F19" s="58" t="s">
        <v>164</v>
      </c>
      <c r="G19" s="58" t="s">
        <v>165</v>
      </c>
    </row>
    <row r="20" spans="1:7" ht="15.5">
      <c r="A20" s="84" t="s">
        <v>159</v>
      </c>
      <c r="B20" s="66" t="s">
        <v>159</v>
      </c>
      <c r="C20" s="85" t="s">
        <v>159</v>
      </c>
      <c r="E20" s="60" t="s">
        <v>171</v>
      </c>
      <c r="F20" s="60" t="s">
        <v>189</v>
      </c>
      <c r="G20" s="59" t="s">
        <v>190</v>
      </c>
    </row>
    <row r="21" spans="1:7" ht="15.5">
      <c r="A21" s="68"/>
      <c r="F21" s="62"/>
    </row>
    <row r="22" spans="1:7" ht="15.5">
      <c r="A22" s="62">
        <f>A9*D9</f>
        <v>6.4</v>
      </c>
      <c r="B22" s="58">
        <v>4.2</v>
      </c>
      <c r="E22" s="58">
        <v>1</v>
      </c>
      <c r="F22" s="62">
        <f>(G9/1000)*E22</f>
        <v>0.86</v>
      </c>
      <c r="G22" s="86">
        <f>B22/F22</f>
        <v>4.8837209302325588</v>
      </c>
    </row>
  </sheetData>
  <mergeCells count="2">
    <mergeCell ref="A1:E2"/>
    <mergeCell ref="A13:E14"/>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8C732C-04B6-4ADE-B55A-0EFAB8E5126E}">
  <sheetPr codeName="Sheet7"/>
  <dimension ref="A1:R19"/>
  <sheetViews>
    <sheetView workbookViewId="0">
      <selection activeCell="H9" sqref="H9"/>
    </sheetView>
  </sheetViews>
  <sheetFormatPr defaultColWidth="8.58203125" defaultRowHeight="14"/>
  <cols>
    <col min="1" max="2" width="8.58203125" style="1"/>
    <col min="3" max="3" width="10.5" style="1" bestFit="1" customWidth="1"/>
    <col min="4" max="4" width="10.33203125" style="1" bestFit="1" customWidth="1"/>
    <col min="5" max="6" width="8.58203125" style="1"/>
    <col min="7" max="7" width="8.5" style="1" bestFit="1" customWidth="1"/>
    <col min="8" max="8" width="13.75" style="1" bestFit="1" customWidth="1"/>
    <col min="9" max="9" width="9.08203125" style="19" bestFit="1" customWidth="1"/>
    <col min="10" max="10" width="4.08203125" customWidth="1"/>
    <col min="11" max="11" width="13.08203125" style="15" bestFit="1" customWidth="1"/>
    <col min="12" max="12" width="9.58203125" style="16" bestFit="1" customWidth="1"/>
    <col min="13" max="13" width="2.75" style="1" customWidth="1"/>
    <col min="14" max="14" width="12.5" style="1" bestFit="1" customWidth="1"/>
    <col min="15" max="15" width="9.33203125" style="17" bestFit="1" customWidth="1"/>
    <col min="16" max="16" width="3.58203125" style="1" customWidth="1"/>
    <col min="17" max="17" width="8.58203125" style="1"/>
    <col min="18" max="18" width="9.58203125" style="1" bestFit="1" customWidth="1"/>
    <col min="19" max="16384" width="8.58203125" style="1"/>
  </cols>
  <sheetData>
    <row r="1" spans="1:18">
      <c r="E1" s="1" t="s">
        <v>44</v>
      </c>
    </row>
    <row r="2" spans="1:18">
      <c r="E2" s="1">
        <v>50</v>
      </c>
      <c r="F2" s="14" t="s">
        <v>53</v>
      </c>
    </row>
    <row r="4" spans="1:18">
      <c r="C4" s="1" t="s">
        <v>40</v>
      </c>
      <c r="D4" s="1" t="s">
        <v>45</v>
      </c>
      <c r="G4" s="1" t="s">
        <v>54</v>
      </c>
      <c r="H4" s="1" t="s">
        <v>40</v>
      </c>
      <c r="I4" s="19" t="s">
        <v>45</v>
      </c>
      <c r="K4" s="15" t="s">
        <v>46</v>
      </c>
      <c r="L4" s="16" t="s">
        <v>44</v>
      </c>
      <c r="N4" s="1" t="s">
        <v>44</v>
      </c>
      <c r="O4" s="17" t="s">
        <v>44</v>
      </c>
      <c r="Q4" s="1" t="s">
        <v>44</v>
      </c>
      <c r="R4" s="1" t="s">
        <v>44</v>
      </c>
    </row>
    <row r="5" spans="1:18">
      <c r="A5" s="1" t="s">
        <v>35</v>
      </c>
      <c r="B5" s="1" t="s">
        <v>27</v>
      </c>
      <c r="C5" s="1" t="s">
        <v>38</v>
      </c>
      <c r="D5" s="1" t="s">
        <v>51</v>
      </c>
      <c r="E5" s="1" t="s">
        <v>36</v>
      </c>
      <c r="F5" s="1" t="s">
        <v>37</v>
      </c>
      <c r="G5" s="1" t="s">
        <v>55</v>
      </c>
      <c r="H5" s="1" t="s">
        <v>41</v>
      </c>
      <c r="I5" s="19" t="s">
        <v>52</v>
      </c>
      <c r="K5" s="15" t="s">
        <v>42</v>
      </c>
      <c r="L5" s="16" t="s">
        <v>43</v>
      </c>
      <c r="N5" s="1" t="s">
        <v>47</v>
      </c>
      <c r="O5" s="17" t="s">
        <v>48</v>
      </c>
      <c r="Q5" s="1" t="s">
        <v>49</v>
      </c>
      <c r="R5" s="1" t="s">
        <v>50</v>
      </c>
    </row>
    <row r="8" spans="1:18">
      <c r="A8" s="1" t="s">
        <v>39</v>
      </c>
      <c r="B8" s="1">
        <v>5</v>
      </c>
      <c r="C8" s="1">
        <v>1</v>
      </c>
      <c r="D8" s="1">
        <v>18</v>
      </c>
      <c r="F8" s="1">
        <v>35</v>
      </c>
      <c r="H8" s="1">
        <v>0.1</v>
      </c>
      <c r="I8" s="19">
        <f>D8-B8</f>
        <v>13</v>
      </c>
      <c r="K8" s="15">
        <f>I8*H8</f>
        <v>1.3</v>
      </c>
      <c r="L8" s="16">
        <f>K8*E2</f>
        <v>65</v>
      </c>
      <c r="N8" s="1">
        <v>24</v>
      </c>
      <c r="O8" s="17">
        <f>N8+L8</f>
        <v>89</v>
      </c>
    </row>
    <row r="16" spans="1:18" ht="14.5">
      <c r="B16" s="26" t="s">
        <v>99</v>
      </c>
    </row>
    <row r="19" spans="3:5">
      <c r="C19" s="1">
        <f>(D8-B8)*H8</f>
        <v>1.3</v>
      </c>
      <c r="D19" s="1" t="s">
        <v>46</v>
      </c>
      <c r="E19" s="1" t="s">
        <v>100</v>
      </c>
    </row>
  </sheetData>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4E69E6-D159-46B0-A652-4670D03004F9}">
  <sheetPr codeName="Sheet8"/>
  <dimension ref="A1:L87"/>
  <sheetViews>
    <sheetView topLeftCell="A44" zoomScale="85" zoomScaleNormal="85" workbookViewId="0">
      <selection activeCell="C88" sqref="C88"/>
    </sheetView>
  </sheetViews>
  <sheetFormatPr defaultColWidth="8.58203125" defaultRowHeight="14"/>
  <cols>
    <col min="1" max="2" width="8.58203125" style="1"/>
    <col min="3" max="3" width="19.83203125" style="1" bestFit="1" customWidth="1"/>
    <col min="4" max="4" width="8.83203125" style="1" bestFit="1" customWidth="1"/>
    <col min="5" max="5" width="12.08203125" style="1" bestFit="1" customWidth="1"/>
    <col min="6" max="6" width="11.83203125" style="1" customWidth="1"/>
    <col min="7" max="7" width="8.58203125" style="1"/>
    <col min="8" max="8" width="13.33203125" style="1" bestFit="1" customWidth="1"/>
    <col min="9" max="9" width="13.08203125" style="1" bestFit="1" customWidth="1"/>
    <col min="10" max="10" width="13.33203125" style="1" bestFit="1" customWidth="1"/>
    <col min="11" max="11" width="16.25" style="1" bestFit="1" customWidth="1"/>
    <col min="12" max="16384" width="8.58203125" style="1"/>
  </cols>
  <sheetData>
    <row r="1" spans="1:12">
      <c r="A1" s="1" t="s">
        <v>56</v>
      </c>
    </row>
    <row r="2" spans="1:12">
      <c r="F2" s="1" t="s">
        <v>75</v>
      </c>
      <c r="K2" s="1" t="s">
        <v>77</v>
      </c>
    </row>
    <row r="4" spans="1:12">
      <c r="D4" s="1" t="s">
        <v>40</v>
      </c>
      <c r="E4" s="1" t="s">
        <v>40</v>
      </c>
      <c r="G4" s="1" t="s">
        <v>96</v>
      </c>
      <c r="H4" s="1" t="s">
        <v>40</v>
      </c>
      <c r="K4" s="1" t="s">
        <v>40</v>
      </c>
    </row>
    <row r="5" spans="1:12">
      <c r="A5" s="1" t="s">
        <v>87</v>
      </c>
      <c r="B5" s="1" t="s">
        <v>25</v>
      </c>
      <c r="C5" s="1" t="s">
        <v>92</v>
      </c>
      <c r="D5" s="1" t="s">
        <v>89</v>
      </c>
      <c r="E5" s="1" t="s">
        <v>88</v>
      </c>
      <c r="F5" s="1" t="s">
        <v>58</v>
      </c>
      <c r="G5" s="1" t="s">
        <v>76</v>
      </c>
      <c r="H5" s="1" t="s">
        <v>90</v>
      </c>
      <c r="I5" s="1" t="s">
        <v>91</v>
      </c>
      <c r="J5" s="1" t="s">
        <v>27</v>
      </c>
      <c r="K5" s="1" t="s">
        <v>57</v>
      </c>
      <c r="L5" s="1" t="s">
        <v>93</v>
      </c>
    </row>
    <row r="7" spans="1:12">
      <c r="A7" s="1">
        <v>5.0999999999999996</v>
      </c>
      <c r="B7" s="1">
        <v>5.5</v>
      </c>
      <c r="C7" s="19">
        <f>B7-A7*D7</f>
        <v>5.4277993000000002</v>
      </c>
      <c r="D7" s="19">
        <f>H7+E7</f>
        <v>1.4156999999999999E-2</v>
      </c>
      <c r="E7" s="1">
        <v>4.1570000000000001E-3</v>
      </c>
      <c r="F7" s="1">
        <v>0.7</v>
      </c>
      <c r="G7" s="1">
        <v>172</v>
      </c>
      <c r="H7" s="1">
        <v>0.01</v>
      </c>
      <c r="I7" s="19">
        <f>(G7+1)*E7</f>
        <v>0.71916100000000005</v>
      </c>
      <c r="J7" s="18">
        <f>A7-F7</f>
        <v>4.3999999999999995</v>
      </c>
      <c r="K7" s="19">
        <f>I7</f>
        <v>0.71916100000000005</v>
      </c>
    </row>
    <row r="9" spans="1:12" ht="15.5">
      <c r="C9" s="22" t="s">
        <v>94</v>
      </c>
      <c r="D9" s="22" t="s">
        <v>81</v>
      </c>
      <c r="J9" s="22" t="s">
        <v>95</v>
      </c>
      <c r="K9" s="22" t="s">
        <v>97</v>
      </c>
    </row>
    <row r="11" spans="1:12">
      <c r="C11" s="19">
        <f>B7-(A7*H7)+(K7*G7)+1</f>
        <v>130.14469200000002</v>
      </c>
    </row>
    <row r="13" spans="1:12" ht="15.5">
      <c r="C13" s="22" t="s">
        <v>98</v>
      </c>
    </row>
    <row r="16" spans="1:12" ht="14.15" customHeight="1">
      <c r="A16" s="306" t="s">
        <v>78</v>
      </c>
      <c r="B16" s="306"/>
      <c r="C16" s="306"/>
      <c r="D16" s="306"/>
    </row>
    <row r="17" spans="1:9" ht="14.15" customHeight="1">
      <c r="A17" s="306"/>
      <c r="B17" s="306"/>
      <c r="C17" s="306"/>
      <c r="D17" s="306"/>
    </row>
    <row r="18" spans="1:9" ht="14.15" customHeight="1">
      <c r="A18" s="306"/>
      <c r="B18" s="306"/>
      <c r="C18" s="306"/>
      <c r="D18" s="306"/>
    </row>
    <row r="19" spans="1:9" ht="14.15" customHeight="1">
      <c r="A19" s="306"/>
      <c r="B19" s="306"/>
      <c r="C19" s="306"/>
      <c r="D19" s="306"/>
    </row>
    <row r="20" spans="1:9" ht="14.15" customHeight="1">
      <c r="A20" s="306"/>
      <c r="B20" s="306"/>
      <c r="C20" s="306"/>
      <c r="D20" s="306"/>
    </row>
    <row r="21" spans="1:9" ht="14.15" customHeight="1">
      <c r="A21" s="306"/>
      <c r="B21" s="306"/>
      <c r="C21" s="306"/>
      <c r="D21" s="306"/>
    </row>
    <row r="22" spans="1:9" ht="14.15" customHeight="1">
      <c r="A22" s="306"/>
      <c r="B22" s="306"/>
      <c r="C22" s="306"/>
      <c r="D22" s="306"/>
    </row>
    <row r="23" spans="1:9" ht="14.15" customHeight="1">
      <c r="A23" s="306"/>
      <c r="B23" s="306"/>
      <c r="C23" s="306"/>
      <c r="D23" s="306"/>
    </row>
    <row r="24" spans="1:9" ht="14.15" customHeight="1">
      <c r="A24" s="306"/>
      <c r="B24" s="306"/>
      <c r="C24" s="306"/>
      <c r="D24" s="306"/>
    </row>
    <row r="25" spans="1:9" ht="14.15" customHeight="1">
      <c r="A25" s="306"/>
      <c r="B25" s="306"/>
      <c r="C25" s="306"/>
      <c r="D25" s="306"/>
    </row>
    <row r="26" spans="1:9" ht="14.15" customHeight="1">
      <c r="A26" s="306"/>
      <c r="B26" s="306"/>
      <c r="C26" s="306"/>
      <c r="D26" s="306"/>
    </row>
    <row r="27" spans="1:9" ht="14.15" customHeight="1">
      <c r="A27" s="306"/>
      <c r="B27" s="306"/>
      <c r="C27" s="306"/>
      <c r="D27" s="306"/>
    </row>
    <row r="28" spans="1:9" ht="15.5">
      <c r="A28" s="306"/>
      <c r="B28" s="306"/>
      <c r="C28" s="306"/>
      <c r="D28" s="306"/>
      <c r="F28" s="22" t="s">
        <v>79</v>
      </c>
      <c r="G28" s="23"/>
      <c r="H28" s="23"/>
      <c r="I28" s="23"/>
    </row>
    <row r="29" spans="1:9" ht="15.5">
      <c r="A29" s="306"/>
      <c r="B29" s="306"/>
      <c r="C29" s="306"/>
      <c r="D29" s="306"/>
      <c r="F29" s="24"/>
      <c r="G29" s="23"/>
      <c r="H29" s="23"/>
      <c r="I29" s="23"/>
    </row>
    <row r="30" spans="1:9" ht="15.5">
      <c r="A30" s="306"/>
      <c r="B30" s="306"/>
      <c r="C30" s="306"/>
      <c r="D30" s="306"/>
      <c r="F30" s="24" t="s">
        <v>80</v>
      </c>
      <c r="G30" s="23"/>
      <c r="H30" s="23"/>
      <c r="I30" s="23"/>
    </row>
    <row r="31" spans="1:9" ht="15.5">
      <c r="A31" s="306"/>
      <c r="B31" s="306"/>
      <c r="C31" s="306"/>
      <c r="D31" s="306"/>
      <c r="F31" s="24"/>
      <c r="G31" s="23"/>
      <c r="H31" s="23"/>
      <c r="I31" s="23"/>
    </row>
    <row r="32" spans="1:9" ht="15.5">
      <c r="A32" s="306"/>
      <c r="B32" s="306"/>
      <c r="C32" s="306"/>
      <c r="D32" s="306"/>
      <c r="F32" s="22" t="s">
        <v>81</v>
      </c>
      <c r="G32" s="23"/>
      <c r="H32" s="23"/>
      <c r="I32" s="23"/>
    </row>
    <row r="33" spans="1:9" ht="15.5">
      <c r="A33" s="306"/>
      <c r="B33" s="306"/>
      <c r="C33" s="306"/>
      <c r="D33" s="306"/>
      <c r="F33" s="24"/>
      <c r="G33" s="23"/>
      <c r="H33" s="23"/>
      <c r="I33" s="23"/>
    </row>
    <row r="34" spans="1:9" ht="15.5">
      <c r="A34" s="306"/>
      <c r="B34" s="306"/>
      <c r="C34" s="306"/>
      <c r="D34" s="306"/>
      <c r="F34" s="22" t="s">
        <v>82</v>
      </c>
      <c r="G34" s="23"/>
      <c r="H34" s="23"/>
      <c r="I34" s="23"/>
    </row>
    <row r="35" spans="1:9" ht="15.5">
      <c r="A35" s="25"/>
      <c r="B35" s="25"/>
      <c r="C35" s="25"/>
      <c r="D35" s="25"/>
      <c r="F35" s="24"/>
      <c r="G35" s="23"/>
      <c r="H35" s="23"/>
      <c r="I35" s="23"/>
    </row>
    <row r="36" spans="1:9" ht="15.5">
      <c r="A36" s="25"/>
      <c r="B36" s="25"/>
      <c r="C36" s="25"/>
      <c r="D36" s="25"/>
      <c r="F36" s="22" t="s">
        <v>83</v>
      </c>
      <c r="G36" s="23"/>
      <c r="H36" s="23"/>
      <c r="I36" s="23"/>
    </row>
    <row r="37" spans="1:9" ht="15.5">
      <c r="A37" s="25"/>
      <c r="B37" s="25"/>
      <c r="C37" s="25"/>
      <c r="D37" s="25"/>
      <c r="F37" s="24"/>
      <c r="G37" s="23"/>
      <c r="H37" s="23"/>
      <c r="I37" s="23"/>
    </row>
    <row r="38" spans="1:9" ht="15.5">
      <c r="A38" s="25"/>
      <c r="B38" s="25"/>
      <c r="C38" s="25"/>
      <c r="D38" s="25"/>
      <c r="F38" s="24" t="s">
        <v>84</v>
      </c>
      <c r="G38" s="23"/>
      <c r="H38" s="23"/>
      <c r="I38" s="23"/>
    </row>
    <row r="39" spans="1:9" ht="15.5">
      <c r="A39" s="25"/>
      <c r="B39" s="25"/>
      <c r="C39" s="25"/>
      <c r="D39" s="25"/>
      <c r="F39" s="24"/>
      <c r="G39" s="23"/>
      <c r="H39" s="23"/>
      <c r="I39" s="23"/>
    </row>
    <row r="40" spans="1:9" ht="15.5">
      <c r="A40" s="25"/>
      <c r="B40" s="25"/>
      <c r="C40" s="25"/>
      <c r="D40" s="25"/>
      <c r="E40" s="20"/>
      <c r="F40" s="22" t="s">
        <v>85</v>
      </c>
      <c r="G40" s="23"/>
      <c r="H40" s="23"/>
      <c r="I40" s="23"/>
    </row>
    <row r="41" spans="1:9" ht="15.5">
      <c r="A41" s="25"/>
      <c r="B41" s="25"/>
      <c r="C41" s="25"/>
      <c r="D41" s="25"/>
      <c r="E41"/>
      <c r="F41" s="24"/>
      <c r="G41" s="23"/>
      <c r="H41" s="23"/>
      <c r="I41" s="23"/>
    </row>
    <row r="42" spans="1:9" ht="15.5">
      <c r="A42" s="25"/>
      <c r="B42" s="25"/>
      <c r="C42" s="25"/>
      <c r="D42" s="25"/>
      <c r="F42" s="24" t="s">
        <v>86</v>
      </c>
      <c r="G42" s="23"/>
      <c r="H42" s="23"/>
      <c r="I42" s="23"/>
    </row>
    <row r="43" spans="1:9" ht="14.15" customHeight="1">
      <c r="A43" s="25"/>
      <c r="B43" s="25"/>
      <c r="C43" s="25"/>
      <c r="D43" s="25"/>
    </row>
    <row r="57" spans="5:5">
      <c r="E57"/>
    </row>
    <row r="58" spans="5:5" ht="14.15" customHeight="1">
      <c r="E58" s="21"/>
    </row>
    <row r="65" spans="3:10">
      <c r="E65" s="1" t="s">
        <v>127</v>
      </c>
      <c r="F65" s="1" t="s">
        <v>128</v>
      </c>
      <c r="H65" s="1" t="s">
        <v>129</v>
      </c>
      <c r="J65" s="1" t="s">
        <v>130</v>
      </c>
    </row>
    <row r="67" spans="3:10">
      <c r="E67" s="1">
        <v>5.0999999999999996</v>
      </c>
      <c r="F67" s="1">
        <v>1.3</v>
      </c>
      <c r="H67" s="1">
        <v>5.5</v>
      </c>
      <c r="J67" s="1">
        <v>1000</v>
      </c>
    </row>
    <row r="70" spans="3:10">
      <c r="C70" s="1" t="s">
        <v>38</v>
      </c>
    </row>
    <row r="72" spans="3:10">
      <c r="C72" s="1">
        <f>F67/H67</f>
        <v>0.23636363636363636</v>
      </c>
    </row>
    <row r="75" spans="3:10">
      <c r="C75" s="1" t="s">
        <v>131</v>
      </c>
    </row>
    <row r="77" spans="3:10">
      <c r="C77" s="1">
        <f>(H67-E67)/C72</f>
        <v>1.6923076923076938</v>
      </c>
    </row>
    <row r="80" spans="3:10">
      <c r="C80" s="1" t="s">
        <v>132</v>
      </c>
    </row>
    <row r="82" spans="3:3">
      <c r="C82" s="1">
        <f>E67/J67</f>
        <v>5.0999999999999995E-3</v>
      </c>
    </row>
    <row r="85" spans="3:3">
      <c r="C85" s="1" t="s">
        <v>133</v>
      </c>
    </row>
    <row r="87" spans="3:3">
      <c r="C87" s="1">
        <f>C72-C82</f>
        <v>0.23126363636363637</v>
      </c>
    </row>
  </sheetData>
  <mergeCells count="1">
    <mergeCell ref="A16:D3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AD7E2A-CED3-4993-ACFB-3807A4908DFF}">
  <sheetPr codeName="Sheet9">
    <tabColor rgb="FFFA8D0A"/>
  </sheetPr>
  <dimension ref="C1:X31"/>
  <sheetViews>
    <sheetView workbookViewId="0">
      <selection activeCell="I36" sqref="I36"/>
    </sheetView>
  </sheetViews>
  <sheetFormatPr defaultColWidth="8.58203125" defaultRowHeight="14.5"/>
  <cols>
    <col min="1" max="2" width="8.58203125" style="200"/>
    <col min="3" max="3" width="4.75" style="200" bestFit="1" customWidth="1"/>
    <col min="4" max="4" width="8.58203125" style="200"/>
    <col min="5" max="5" width="9.9140625" style="200" customWidth="1"/>
    <col min="6" max="6" width="8.58203125" style="200" customWidth="1"/>
    <col min="7" max="7" width="9.33203125" style="200" customWidth="1"/>
    <col min="8" max="8" width="5.75" style="200" bestFit="1" customWidth="1"/>
    <col min="9" max="9" width="12.6640625" style="200" customWidth="1"/>
    <col min="10" max="11" width="15.83203125" style="200" bestFit="1" customWidth="1"/>
    <col min="12" max="12" width="8.58203125" style="200"/>
    <col min="13" max="13" width="21" style="200" bestFit="1" customWidth="1"/>
    <col min="14" max="16384" width="8.58203125" style="200"/>
  </cols>
  <sheetData>
    <row r="1" spans="3:24">
      <c r="V1" s="127" t="s">
        <v>252</v>
      </c>
      <c r="W1" s="127">
        <f>IF(E9&lt;&gt;0,1, IF(E10&lt;&gt;0,1000,IF(E11&lt;&gt;0,1000000,0)))</f>
        <v>1000</v>
      </c>
      <c r="X1" s="127">
        <f>IF(G9&lt;&gt;0,1, IF(G10&lt;&gt;0,1000,IF(G11&lt;&gt;0,1000000,0)))</f>
        <v>1000</v>
      </c>
    </row>
    <row r="2" spans="3:24">
      <c r="V2" s="227"/>
      <c r="W2" s="127"/>
      <c r="X2" s="127"/>
    </row>
    <row r="3" spans="3:24">
      <c r="C3" s="307" t="s">
        <v>298</v>
      </c>
      <c r="D3" s="307"/>
      <c r="E3" s="307"/>
      <c r="F3" s="307"/>
      <c r="G3" s="307"/>
      <c r="H3" s="307"/>
      <c r="I3" s="307"/>
      <c r="V3" s="227"/>
      <c r="W3" s="127"/>
      <c r="X3" s="127"/>
    </row>
    <row r="4" spans="3:24">
      <c r="C4" s="307"/>
      <c r="D4" s="307"/>
      <c r="E4" s="307"/>
      <c r="F4" s="307"/>
      <c r="G4" s="307"/>
      <c r="H4" s="307"/>
      <c r="I4" s="307"/>
      <c r="W4" s="127"/>
      <c r="X4" s="127"/>
    </row>
    <row r="5" spans="3:24" ht="23.5" thickBot="1">
      <c r="C5" s="228"/>
      <c r="D5" s="228"/>
      <c r="E5" s="228"/>
      <c r="F5" s="228"/>
      <c r="G5" s="228"/>
      <c r="H5" s="228"/>
      <c r="I5" s="228"/>
      <c r="W5" s="227"/>
      <c r="X5" s="227"/>
    </row>
    <row r="6" spans="3:24" ht="15" thickBot="1">
      <c r="C6" s="201" t="s">
        <v>25</v>
      </c>
      <c r="D6" s="202"/>
      <c r="E6" s="202" t="s">
        <v>26</v>
      </c>
      <c r="F6" s="202"/>
      <c r="G6" s="202" t="s">
        <v>297</v>
      </c>
      <c r="H6" s="202"/>
      <c r="I6" s="202" t="s">
        <v>27</v>
      </c>
      <c r="J6" s="202" t="s">
        <v>28</v>
      </c>
      <c r="K6" s="202" t="s">
        <v>34</v>
      </c>
      <c r="L6" s="202"/>
      <c r="M6" s="203" t="s">
        <v>23</v>
      </c>
    </row>
    <row r="8" spans="3:24">
      <c r="C8" s="206">
        <v>3.3</v>
      </c>
      <c r="E8" s="208">
        <f>IF(E9&lt;&gt;0,E9*W1,IF(E10&lt;&gt;0,E10*W1,IF(E11&lt;&gt;0,E11*W1,0)))</f>
        <v>10000</v>
      </c>
      <c r="F8" s="200" t="s">
        <v>30</v>
      </c>
      <c r="G8" s="209">
        <f>IF(G9&lt;&gt;0,G9*X1,IF(G10&lt;&gt;0,G10*X1,IF(G11&lt;&gt;0,G11*X1,0)))</f>
        <v>28000</v>
      </c>
      <c r="H8" s="200" t="s">
        <v>30</v>
      </c>
      <c r="I8" s="207">
        <f>C8*K8</f>
        <v>-9.2399999999999984</v>
      </c>
      <c r="J8" s="210">
        <f>I8/C8</f>
        <v>-2.8</v>
      </c>
      <c r="K8" s="211">
        <f>-1*(G8/E8)</f>
        <v>-2.8</v>
      </c>
    </row>
    <row r="9" spans="3:24">
      <c r="E9" s="75"/>
      <c r="F9" s="200" t="s">
        <v>30</v>
      </c>
      <c r="G9" s="75"/>
      <c r="H9" s="200" t="s">
        <v>30</v>
      </c>
    </row>
    <row r="10" spans="3:24">
      <c r="E10" s="204">
        <v>10</v>
      </c>
      <c r="F10" s="200" t="s">
        <v>32</v>
      </c>
      <c r="G10" s="204">
        <v>28</v>
      </c>
      <c r="H10" s="200" t="s">
        <v>32</v>
      </c>
    </row>
    <row r="11" spans="3:24">
      <c r="E11" s="205"/>
      <c r="F11" s="200" t="s">
        <v>33</v>
      </c>
      <c r="G11" s="205"/>
      <c r="H11" s="200" t="s">
        <v>33</v>
      </c>
    </row>
    <row r="14" spans="3:24">
      <c r="C14" s="206">
        <v>3.3</v>
      </c>
      <c r="E14" s="206">
        <v>10</v>
      </c>
      <c r="F14" s="200" t="s">
        <v>32</v>
      </c>
      <c r="G14" s="209">
        <f>-1*J14*E14</f>
        <v>27.272727272727273</v>
      </c>
      <c r="H14" s="200" t="s">
        <v>32</v>
      </c>
      <c r="I14" s="206">
        <v>-9</v>
      </c>
      <c r="J14" s="211">
        <f>I14/C14</f>
        <v>-2.7272727272727275</v>
      </c>
      <c r="K14" s="217">
        <f>G14/E14</f>
        <v>2.7272727272727275</v>
      </c>
    </row>
    <row r="15" spans="3:24">
      <c r="C15" s="206">
        <v>3.3</v>
      </c>
      <c r="E15" s="218">
        <f>-1*G15/J15</f>
        <v>10.266666666666666</v>
      </c>
      <c r="F15" s="200" t="s">
        <v>32</v>
      </c>
      <c r="G15" s="206">
        <v>28</v>
      </c>
      <c r="H15" s="200" t="s">
        <v>32</v>
      </c>
      <c r="I15" s="206">
        <v>-9</v>
      </c>
      <c r="J15" s="219">
        <f>I15/C15</f>
        <v>-2.7272727272727275</v>
      </c>
      <c r="K15" s="220">
        <f>G15/E15</f>
        <v>2.7272727272727275</v>
      </c>
    </row>
    <row r="19" spans="3:13">
      <c r="C19" s="307" t="s">
        <v>299</v>
      </c>
      <c r="D19" s="307"/>
      <c r="E19" s="307"/>
      <c r="F19" s="307"/>
      <c r="G19" s="307"/>
      <c r="H19" s="307"/>
      <c r="I19" s="307"/>
    </row>
    <row r="20" spans="3:13">
      <c r="C20" s="307"/>
      <c r="D20" s="307"/>
      <c r="E20" s="307"/>
      <c r="F20" s="307"/>
      <c r="G20" s="307"/>
      <c r="H20" s="307"/>
      <c r="I20" s="307"/>
    </row>
    <row r="21" spans="3:13" ht="23.5" thickBot="1">
      <c r="C21" s="228"/>
      <c r="D21" s="228"/>
      <c r="E21" s="228"/>
      <c r="F21" s="228"/>
      <c r="G21" s="228"/>
      <c r="H21" s="228"/>
      <c r="I21" s="228"/>
    </row>
    <row r="22" spans="3:13" ht="15" thickBot="1">
      <c r="C22" s="201" t="s">
        <v>25</v>
      </c>
      <c r="D22" s="202"/>
      <c r="E22" s="202" t="s">
        <v>26</v>
      </c>
      <c r="F22" s="202"/>
      <c r="G22" s="202" t="s">
        <v>297</v>
      </c>
      <c r="H22" s="202"/>
      <c r="I22" s="202" t="s">
        <v>27</v>
      </c>
      <c r="J22" s="202" t="s">
        <v>28</v>
      </c>
      <c r="K22" s="202" t="s">
        <v>29</v>
      </c>
      <c r="L22" s="202"/>
      <c r="M22" s="203" t="s">
        <v>24</v>
      </c>
    </row>
    <row r="24" spans="3:13">
      <c r="C24" s="206">
        <v>3.3</v>
      </c>
      <c r="E24" s="212">
        <f>IF(E25&lt;&gt;0,E25,IF(E26&lt;&gt;0,E26*1000,IF(E27&lt;&gt;0,E27*1000000,0)))</f>
        <v>13000</v>
      </c>
      <c r="F24" s="200" t="s">
        <v>30</v>
      </c>
      <c r="G24" s="213">
        <f>IF(G25&lt;&gt;0,G25,IF(G26&lt;&gt;0,G26*1000,IF(G27&lt;&gt;0,G27*1000000,0)))</f>
        <v>22000</v>
      </c>
      <c r="H24" s="200" t="s">
        <v>30</v>
      </c>
      <c r="I24" s="214">
        <f>C24*K24</f>
        <v>8.884615384615385</v>
      </c>
      <c r="J24" s="215">
        <f>I24/C24</f>
        <v>2.6923076923076925</v>
      </c>
      <c r="K24" s="216">
        <f>1+(G24/E24)</f>
        <v>2.6923076923076925</v>
      </c>
    </row>
    <row r="25" spans="3:13">
      <c r="E25" s="75"/>
      <c r="F25" s="200" t="s">
        <v>30</v>
      </c>
      <c r="G25" s="75"/>
      <c r="H25" s="200" t="s">
        <v>30</v>
      </c>
    </row>
    <row r="26" spans="3:13">
      <c r="E26" s="204">
        <v>13</v>
      </c>
      <c r="F26" s="200" t="s">
        <v>32</v>
      </c>
      <c r="G26" s="204">
        <v>22</v>
      </c>
      <c r="H26" s="200" t="s">
        <v>32</v>
      </c>
    </row>
    <row r="27" spans="3:13">
      <c r="E27" s="205"/>
      <c r="F27" s="200" t="s">
        <v>33</v>
      </c>
      <c r="G27" s="205"/>
      <c r="H27" s="200" t="s">
        <v>33</v>
      </c>
    </row>
    <row r="30" spans="3:13">
      <c r="C30" s="206">
        <v>3.3</v>
      </c>
      <c r="E30" s="206">
        <v>13</v>
      </c>
      <c r="F30" s="200" t="s">
        <v>32</v>
      </c>
      <c r="G30" s="222">
        <f>E30*(J30-1)</f>
        <v>21.469696969696972</v>
      </c>
      <c r="H30" s="200" t="s">
        <v>32</v>
      </c>
      <c r="I30" s="206">
        <v>8.75</v>
      </c>
      <c r="J30" s="223">
        <f>I30/C30</f>
        <v>2.6515151515151518</v>
      </c>
      <c r="K30" s="225">
        <f>1+G30/E30</f>
        <v>2.6515151515151518</v>
      </c>
    </row>
    <row r="31" spans="3:13">
      <c r="C31" s="206">
        <v>3.3</v>
      </c>
      <c r="E31" s="221">
        <f>G31/(J31-1)</f>
        <v>6.0550458715596323</v>
      </c>
      <c r="F31" s="200" t="s">
        <v>32</v>
      </c>
      <c r="G31" s="206">
        <v>10</v>
      </c>
      <c r="H31" s="200" t="s">
        <v>32</v>
      </c>
      <c r="I31" s="206">
        <v>8.75</v>
      </c>
      <c r="J31" s="224">
        <f>I31/C31</f>
        <v>2.6515151515151518</v>
      </c>
      <c r="K31" s="226">
        <f>1+G31/E31</f>
        <v>2.6515151515151518</v>
      </c>
    </row>
  </sheetData>
  <mergeCells count="2">
    <mergeCell ref="C3:I4"/>
    <mergeCell ref="C19:I20"/>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5448</TotalTime>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Cap Value Table</vt:lpstr>
      <vt:lpstr>Ohms Law</vt:lpstr>
      <vt:lpstr>RF Calculations</vt:lpstr>
      <vt:lpstr>Voltage Divider</vt:lpstr>
      <vt:lpstr>LED Calculator</vt:lpstr>
      <vt:lpstr>LiPo Battery Management</vt:lpstr>
      <vt:lpstr>Voltage Regulators</vt:lpstr>
      <vt:lpstr>Zener Regulators</vt:lpstr>
      <vt:lpstr>Op Amp Gain Calc</vt:lpstr>
      <vt:lpstr>Op Amp Pinouts</vt:lpstr>
      <vt:lpstr>Simple Transitor Amp</vt:lpstr>
      <vt:lpstr>Logic Gate Planning</vt:lpstr>
      <vt:lpstr>40XX Pinouts</vt:lpstr>
      <vt:lpstr>555 Timers</vt:lpstr>
      <vt:lpstr>Charge Pumps</vt:lpstr>
      <vt:lpstr>Wein Bridge Calculator</vt:lpstr>
      <vt:lpstr>Triangle Calculator</vt:lpstr>
      <vt:lpstr>Colour Maths</vt:lpstr>
      <vt:lpstr>Stress Strain</vt:lpstr>
      <vt:lpstr>Shear Stress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Dec H</dc:creator>
  <cp:lastModifiedBy>Dec H</cp:lastModifiedBy>
  <cp:revision>9</cp:revision>
  <dcterms:created xsi:type="dcterms:W3CDTF">2018-02-27T16:25:03Z</dcterms:created>
  <dcterms:modified xsi:type="dcterms:W3CDTF">2021-05-29T10:58:30Z</dcterms:modified>
</cp:coreProperties>
</file>